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65" tabRatio="859" activeTab="24"/>
  </bookViews>
  <sheets>
    <sheet name="31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TOTAL LOSS" sheetId="26" r:id="rId26"/>
  </sheets>
  <definedNames>
    <definedName name="_xlfn._FV" hidden="1">#NAME?</definedName>
    <definedName name="_xlnm.Print_Area" localSheetId="1">'01'!$A$1:$Z$40</definedName>
    <definedName name="_xlnm.Print_Area" localSheetId="2">'02'!$A$1:$Z$40</definedName>
    <definedName name="_xlnm.Print_Area" localSheetId="3">'03'!$A$1:$Z$40</definedName>
    <definedName name="_xlnm.Print_Area" localSheetId="4">'04'!$A$1:$Z$40</definedName>
    <definedName name="_xlnm.Print_Area" localSheetId="5">'05'!$A$1:$Z$40</definedName>
    <definedName name="_xlnm.Print_Area" localSheetId="6">'06'!$A$1:$Z$40</definedName>
    <definedName name="_xlnm.Print_Area" localSheetId="7">'07'!$A$1:$Z$40</definedName>
    <definedName name="_xlnm.Print_Area" localSheetId="8">'08'!$A$1:$Z$40</definedName>
    <definedName name="_xlnm.Print_Area" localSheetId="9">'09'!$A$1:$Z$40</definedName>
    <definedName name="_xlnm.Print_Area" localSheetId="10">'10'!$A$1:$Z$40</definedName>
    <definedName name="_xlnm.Print_Area" localSheetId="11">'11'!$A$1:$Z$40</definedName>
    <definedName name="_xlnm.Print_Area" localSheetId="12">'12'!$A$1:$Z$40</definedName>
    <definedName name="_xlnm.Print_Area" localSheetId="13">'13'!$A$1:$Z$40</definedName>
    <definedName name="_xlnm.Print_Area" localSheetId="14">'14'!$A$1:$Z$40</definedName>
    <definedName name="_xlnm.Print_Area" localSheetId="15">'15'!$A$1:$Z$40</definedName>
    <definedName name="_xlnm.Print_Area" localSheetId="16">'16'!$A$1:$Z$40</definedName>
    <definedName name="_xlnm.Print_Area" localSheetId="17">'17'!$A$1:$Z$40</definedName>
    <definedName name="_xlnm.Print_Area" localSheetId="18">'18'!$A$1:$Z$40</definedName>
    <definedName name="_xlnm.Print_Area" localSheetId="19">'19'!$A$1:$Z$40</definedName>
    <definedName name="_xlnm.Print_Area" localSheetId="20">'20'!$A$1:$Z$40</definedName>
    <definedName name="_xlnm.Print_Area" localSheetId="21">'21'!$A$1:$Z$40</definedName>
    <definedName name="_xlnm.Print_Area" localSheetId="22">'22'!$A$1:$Z$40</definedName>
    <definedName name="_xlnm.Print_Area" localSheetId="23">'23'!$A$1:$Z$40</definedName>
    <definedName name="_xlnm.Print_Area" localSheetId="24">'24'!$A$1:$Z$40</definedName>
    <definedName name="_xlnm.Print_Area" localSheetId="0">'31'!$A$1:$Z$40</definedName>
    <definedName name="_xlnm.Print_Area" localSheetId="25">'TOTAL LOSS'!$A$2:$J$26</definedName>
  </definedNames>
  <calcPr fullCalcOnLoad="1"/>
</workbook>
</file>

<file path=xl/sharedStrings.xml><?xml version="1.0" encoding="utf-8"?>
<sst xmlns="http://schemas.openxmlformats.org/spreadsheetml/2006/main" count="2836" uniqueCount="152">
  <si>
    <t>SL
NO</t>
  </si>
  <si>
    <t>NAME OF POWER STATION</t>
  </si>
  <si>
    <t>CAPACITY                                                                                       (MW)</t>
  </si>
  <si>
    <t>GENERATION OF THE DAY
(MU)</t>
  </si>
  <si>
    <t>Cumulative
Gen. of the month till date
(MU)</t>
  </si>
  <si>
    <t>Cumulative
Gen. in FY till date
(MU)</t>
  </si>
  <si>
    <t>Discharge Required for
MWH generation</t>
  </si>
  <si>
    <t>Average
Tunnel/
Power
Channel Discharge
(Cumecs)</t>
  </si>
  <si>
    <t>Probable Generation as per availability of water</t>
  </si>
  <si>
    <t xml:space="preserve">LOSS  OF GENERATION ACCORDING TO WATER AVAILIBILITY w.r.t.  MACHINE CAPACITY
(MU) </t>
  </si>
  <si>
    <t>Unit-1</t>
  </si>
  <si>
    <t>Unit-2</t>
  </si>
  <si>
    <t>Unit-3</t>
  </si>
  <si>
    <t>Unit-4</t>
  </si>
  <si>
    <t>Total</t>
  </si>
  <si>
    <t>B/D of Equipment</t>
  </si>
  <si>
    <t>System Condition
&amp;
Grid
Failure</t>
  </si>
  <si>
    <t>Unusual
&amp;
Other Reasons</t>
  </si>
  <si>
    <t>CHIBRO</t>
  </si>
  <si>
    <t>4x60=240</t>
  </si>
  <si>
    <t>KHODRI</t>
  </si>
  <si>
    <t>4x 30 = 120</t>
  </si>
  <si>
    <t>DHAKRANI</t>
  </si>
  <si>
    <t>3x11.25=33.75</t>
  </si>
  <si>
    <t>DHALIPUR</t>
  </si>
  <si>
    <t>3x17 = 51</t>
  </si>
  <si>
    <t>KULHAL</t>
  </si>
  <si>
    <t>3x 10= 30</t>
  </si>
  <si>
    <t>TILOTH
(MB-I)</t>
  </si>
  <si>
    <t>DHARASU
(MB-II)</t>
  </si>
  <si>
    <t>4x 76 = 304</t>
  </si>
  <si>
    <t>CHILLA</t>
  </si>
  <si>
    <t>4x 36 = 144</t>
  </si>
  <si>
    <t>RAMGANGA</t>
  </si>
  <si>
    <t>3x 66 = 198</t>
  </si>
  <si>
    <t>KHATIMA</t>
  </si>
  <si>
    <t>3x 13.8 =41.40</t>
  </si>
  <si>
    <t>PATHRI</t>
  </si>
  <si>
    <t>MOHD. PUR</t>
  </si>
  <si>
    <t>3x 3.1 =9.30</t>
  </si>
  <si>
    <t>GALOGI</t>
  </si>
  <si>
    <t xml:space="preserve">Distributed to:-   </t>
  </si>
  <si>
    <t xml:space="preserve"> AM - Annual Maintenance, CM-Capital Maintenance, PO - Planned Outage, RO - Reserve Outage, FO - Forced Outage, RMU - Renovation, Modernization and Upgradation, T &amp; C-Testing &amp; Commissioning</t>
  </si>
  <si>
    <t>Maximum possible generation</t>
  </si>
  <si>
    <t>3x6.8=20.4</t>
  </si>
  <si>
    <t>Director(Operation) /Director(Project)/Director(Finance)/ Director(HR)</t>
  </si>
  <si>
    <t>3x30=90</t>
  </si>
  <si>
    <t>Planned Outage</t>
  </si>
  <si>
    <t>Chairman /Secretary(Energy) Govt of Uttrakhand.</t>
  </si>
  <si>
    <t xml:space="preserve"> </t>
  </si>
  <si>
    <t>Remarks</t>
  </si>
  <si>
    <t>PO</t>
  </si>
  <si>
    <t>Flushing
&amp;
choking / High Head Loss</t>
  </si>
  <si>
    <t>Flood Pass/ High PPM</t>
  </si>
  <si>
    <t>3X1+0.5 = 3.5</t>
  </si>
  <si>
    <t>TOTAL</t>
  </si>
  <si>
    <t>RO</t>
  </si>
  <si>
    <t>Name Of Power Station</t>
  </si>
  <si>
    <t>DUNAO</t>
  </si>
  <si>
    <t>PILANG GAD</t>
  </si>
  <si>
    <t>URGAM</t>
  </si>
  <si>
    <t>KALIGANGA-I</t>
  </si>
  <si>
    <t>2x.75=1.5</t>
  </si>
  <si>
    <t>2x1.125=2.25</t>
  </si>
  <si>
    <t>2x1.5=3.00</t>
  </si>
  <si>
    <t>2x2=4.00</t>
  </si>
  <si>
    <t>PAF of the Day</t>
  </si>
  <si>
    <t>Av PAF of the month</t>
  </si>
  <si>
    <t>KALIGANGA-II</t>
  </si>
  <si>
    <t>2x2.25=4.5</t>
  </si>
  <si>
    <t>VYASI</t>
  </si>
  <si>
    <t>2x60=120</t>
  </si>
  <si>
    <t>Generation in M/E Peaking hrs (MU)</t>
  </si>
  <si>
    <t>Declared Capacity (MW)/ Peak Load</t>
  </si>
  <si>
    <t>MD UJVNL/MD UPCL</t>
  </si>
  <si>
    <t>Generation Loss for F.Y. 2022-23 (Upto 15-08-2022)</t>
  </si>
  <si>
    <t>Dy. General Manager (Technical)</t>
  </si>
  <si>
    <t>SURINGAD-II</t>
  </si>
  <si>
    <t>2x2.5=5</t>
  </si>
  <si>
    <t>RMU</t>
  </si>
  <si>
    <t xml:space="preserve">Unit 1 is in RMU since 16.02.2024                                                                                                                              </t>
  </si>
  <si>
    <t>FO</t>
  </si>
  <si>
    <t>Unit 1 is in AM since 12.03.2024</t>
  </si>
  <si>
    <t>Unit 1 is in PO due to Balance work of major Overhauling &amp; repair, since 14.03.2024</t>
  </si>
  <si>
    <t xml:space="preserve">Unit 3 is in CM since 11.02.2024                                                                                                               </t>
  </si>
  <si>
    <t xml:space="preserve"> MIV work in Unit 1 since 17.02.2024,Plant closure since 22.03.2024 due to MIV work</t>
  </si>
  <si>
    <t xml:space="preserve">Unit 4 is in AM since 09.02.2024                                                                                                                             Unit 2 is in AM since 17.03.2024                                                                                                                                          </t>
  </si>
  <si>
    <t>Daily Generation Report of 31 March-  2024</t>
  </si>
  <si>
    <t xml:space="preserve">Reporting  Date 01 April - 2024                                                                            </t>
  </si>
  <si>
    <t xml:space="preserve">Unit 1 is in AM since 26.03.2024,                                                                                                                                                                                  </t>
  </si>
  <si>
    <t>Unit 4 is in CM since 28.12.2023                                                                                                                                               Unit 2 is in FO due to leakage in turbine since 26.03.2024</t>
  </si>
  <si>
    <t>Daily Generation Report of 01 April-  2024</t>
  </si>
  <si>
    <t xml:space="preserve">Reporting  Date 02 April - 2024                                                                            </t>
  </si>
  <si>
    <t xml:space="preserve">Unit 3 is in AM since 22.03.2024 </t>
  </si>
  <si>
    <t>Daily Generation Report of 02 April-  2024</t>
  </si>
  <si>
    <t xml:space="preserve">Reporting  Date 03 April - 2024                                                                            </t>
  </si>
  <si>
    <t xml:space="preserve"> Unit 2 is in AM since 17.03.2024                                                                                                                                          </t>
  </si>
  <si>
    <t>Daily Generation Report of 03 April-  2024</t>
  </si>
  <si>
    <t xml:space="preserve">Reporting  Date 04 April - 2024                                                                            </t>
  </si>
  <si>
    <t>Daily Generation Report of 04 April-  2024</t>
  </si>
  <si>
    <t xml:space="preserve">Reporting  Date 05 April - 2024                                                                            </t>
  </si>
  <si>
    <t>Daily Generation Report of 05 April-  2024</t>
  </si>
  <si>
    <t xml:space="preserve">Reporting  Date 06 April - 2024                                                                            </t>
  </si>
  <si>
    <t>Due to controller watchdog fault in unit 3</t>
  </si>
  <si>
    <t>Daily Generation Report of 06 April-  2024</t>
  </si>
  <si>
    <t xml:space="preserve">Reporting  Date 07 April - 2024                                                                            </t>
  </si>
  <si>
    <t xml:space="preserve"> Unit 2 is in AM since 06.04.2024                                                                                                                                          </t>
  </si>
  <si>
    <t>Daily Generation Report of 07 April-  2024</t>
  </si>
  <si>
    <t xml:space="preserve">Reporting  Date 08 April - 2024                                                                            </t>
  </si>
  <si>
    <t>Daily Generation Report of 08 April-  2024</t>
  </si>
  <si>
    <t xml:space="preserve">Reporting  Date 09 April - 2024                                                                            </t>
  </si>
  <si>
    <t>Daily Generation Report of 09 April-  2024</t>
  </si>
  <si>
    <t xml:space="preserve">Reporting  Date 10 April - 2024                                                                            </t>
  </si>
  <si>
    <t>Daily Generation Report of 10 April-  2024</t>
  </si>
  <si>
    <t xml:space="preserve">Reporting  Date 11 April - 2024                                                                            </t>
  </si>
  <si>
    <t>Daily Generation Report of 11 April-  2024</t>
  </si>
  <si>
    <t xml:space="preserve">Reporting  Date 12 April - 2024                                                                            </t>
  </si>
  <si>
    <t>Daily Generation Report of 12 April-  2024</t>
  </si>
  <si>
    <t xml:space="preserve">Reporting  Date 13 April - 2024                                                                            </t>
  </si>
  <si>
    <t>Daily Generation Report of 13 April-  2024</t>
  </si>
  <si>
    <t xml:space="preserve">Reporting  Date 14 April - 2024                                                                            </t>
  </si>
  <si>
    <t>Unit 1 is in AM since 12.03.2024,expansion joint work in unit 1</t>
  </si>
  <si>
    <t>Daily Generation Report of 14 April-  2024</t>
  </si>
  <si>
    <t xml:space="preserve">Reporting  Date 15 April - 2024                                                                            </t>
  </si>
  <si>
    <t>Daily Generation Report of 15 April-  2024</t>
  </si>
  <si>
    <t xml:space="preserve">Reporting  Date 16 April - 2024                                                                            </t>
  </si>
  <si>
    <t>Daily Generation Report of 17 April-  2024</t>
  </si>
  <si>
    <t xml:space="preserve">Reporting  Date 18 April - 2024                                                                            </t>
  </si>
  <si>
    <t>Unit #3 is under FO due rotor earth fault since 16.04.2024 07:10 AM</t>
  </si>
  <si>
    <t>Daily Generation Report of 16 April-  2024</t>
  </si>
  <si>
    <t xml:space="preserve">Reporting  Date 17 April - 2024                                                                            </t>
  </si>
  <si>
    <t>Daily Generation Report of 18 April-  2024</t>
  </si>
  <si>
    <t xml:space="preserve">Reporting  Date 19 April - 2024                                                                            </t>
  </si>
  <si>
    <t>Loss due to rotor earth fault since 16.04.2024 07:10 AM</t>
  </si>
  <si>
    <t>Unit #3 is under FO due rotor earth fault since 16.04.2024</t>
  </si>
  <si>
    <t>Daily Generation Report of 19 April-  2024</t>
  </si>
  <si>
    <t xml:space="preserve">Reporting  Date 20 April - 2024                                                                            </t>
  </si>
  <si>
    <t>Daily Generation Report of 20 April-  2024</t>
  </si>
  <si>
    <t xml:space="preserve">Reporting  Date 21 April - 2024                                                                            </t>
  </si>
  <si>
    <t>Daily Generation Report of 21 April-  2024</t>
  </si>
  <si>
    <t xml:space="preserve">Reporting  Date 22 April - 2024                                                                            </t>
  </si>
  <si>
    <t>Daily Generation Report of 22 April-  2024</t>
  </si>
  <si>
    <t xml:space="preserve">Reporting  Date 23 April - 2024                                                                            </t>
  </si>
  <si>
    <t>Due to Penstock leakage &amp; S/D of Anarwala substation</t>
  </si>
  <si>
    <t>Daily Generation Report of 23 April-  2024</t>
  </si>
  <si>
    <t xml:space="preserve">Reporting  Date 24 April - 2024                                                                            </t>
  </si>
  <si>
    <t>Due to Trashrack cleaning &amp; Thrust bearing temp high in Unit 1</t>
  </si>
  <si>
    <t>Daily Generation Report of 24 April-  2024</t>
  </si>
  <si>
    <t xml:space="preserve">Reporting  Date 25 April - 2024                                                                            </t>
  </si>
  <si>
    <t xml:space="preserve"> Unit 2 is in AM since 06.04.2024                                                                                                                                          Due to Tripping of Unit 1</t>
  </si>
  <si>
    <t>Unit 3 is in CM since 11.02.2024                                                                                                               Due to Oil leakage from GV servo pipe of Unit 1</t>
  </si>
  <si>
    <t>Due to Thrust bearing temp high of Unit 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</si>
</sst>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\(0.00\)"/>
    <numFmt numFmtId="180" formatCode="0.00000"/>
    <numFmt numFmtId="181" formatCode="0.0000"/>
    <numFmt numFmtId="182" formatCode="0.0"/>
    <numFmt numFmtId="183" formatCode="0.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00"/>
    <numFmt numFmtId="190" formatCode="0.000000000"/>
    <numFmt numFmtId="191" formatCode="0.0000000000"/>
    <numFmt numFmtId="192" formatCode="mmm/yyyy"/>
  </numFmts>
  <fonts count="59">
    <font>
      <sz val="10"/>
      <name val="Arial"/>
      <family val="0"/>
    </font>
    <font>
      <b/>
      <sz val="22"/>
      <name val="Arial"/>
      <family val="2"/>
    </font>
    <font>
      <u val="single"/>
      <sz val="2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9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i/>
      <sz val="24"/>
      <name val="Arial"/>
      <family val="2"/>
    </font>
    <font>
      <b/>
      <u val="single"/>
      <sz val="24"/>
      <name val="Arial"/>
      <family val="2"/>
    </font>
    <font>
      <b/>
      <u val="single"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57">
      <alignment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vertical="center"/>
      <protection/>
    </xf>
    <xf numFmtId="0" fontId="3" fillId="33" borderId="11" xfId="57" applyFont="1" applyFill="1" applyBorder="1" applyAlignment="1">
      <alignment vertical="center"/>
      <protection/>
    </xf>
    <xf numFmtId="0" fontId="0" fillId="0" borderId="0" xfId="57" applyFill="1">
      <alignment/>
      <protection/>
    </xf>
    <xf numFmtId="0" fontId="5" fillId="33" borderId="12" xfId="57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vertical="center" wrapText="1"/>
      <protection/>
    </xf>
    <xf numFmtId="0" fontId="0" fillId="33" borderId="0" xfId="57" applyFill="1">
      <alignment/>
      <protection/>
    </xf>
    <xf numFmtId="0" fontId="57" fillId="33" borderId="12" xfId="57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top" wrapText="1"/>
      <protection/>
    </xf>
    <xf numFmtId="0" fontId="3" fillId="0" borderId="0" xfId="57" applyFont="1" applyFill="1" applyAlignment="1">
      <alignment vertical="center" wrapText="1"/>
      <protection/>
    </xf>
    <xf numFmtId="0" fontId="3" fillId="0" borderId="0" xfId="57" applyFont="1" applyFill="1" applyBorder="1" applyAlignment="1">
      <alignment horizontal="center" vertical="top" wrapText="1"/>
      <protection/>
    </xf>
    <xf numFmtId="0" fontId="3" fillId="33" borderId="13" xfId="57" applyFont="1" applyFill="1" applyBorder="1" applyAlignment="1">
      <alignment vertical="center"/>
      <protection/>
    </xf>
    <xf numFmtId="0" fontId="4" fillId="33" borderId="0" xfId="57" applyFont="1" applyFill="1">
      <alignment/>
      <protection/>
    </xf>
    <xf numFmtId="178" fontId="7" fillId="0" borderId="1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left" vertical="center" wrapText="1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9" fillId="0" borderId="0" xfId="57" applyFont="1">
      <alignment/>
      <protection/>
    </xf>
    <xf numFmtId="0" fontId="7" fillId="0" borderId="0" xfId="57" applyFont="1">
      <alignment/>
      <protection/>
    </xf>
    <xf numFmtId="0" fontId="3" fillId="33" borderId="15" xfId="57" applyFont="1" applyFill="1" applyBorder="1" applyAlignment="1">
      <alignment vertical="center"/>
      <protection/>
    </xf>
    <xf numFmtId="0" fontId="6" fillId="33" borderId="15" xfId="57" applyFont="1" applyFill="1" applyBorder="1" applyAlignment="1">
      <alignment horizontal="left" vertical="center"/>
      <protection/>
    </xf>
    <xf numFmtId="0" fontId="6" fillId="33" borderId="11" xfId="57" applyFont="1" applyFill="1" applyBorder="1" applyAlignment="1">
      <alignment horizontal="left" vertical="center"/>
      <protection/>
    </xf>
    <xf numFmtId="0" fontId="6" fillId="33" borderId="10" xfId="57" applyFont="1" applyFill="1" applyBorder="1" applyAlignment="1">
      <alignment horizontal="left" vertical="center"/>
      <protection/>
    </xf>
    <xf numFmtId="0" fontId="6" fillId="33" borderId="16" xfId="57" applyFont="1" applyFill="1" applyBorder="1" applyAlignment="1">
      <alignment horizontal="left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33" borderId="0" xfId="57" applyFont="1" applyFill="1">
      <alignment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0" fillId="33" borderId="10" xfId="57" applyFont="1" applyFill="1" applyBorder="1" applyAlignment="1">
      <alignment horizontal="center" vertical="center"/>
      <protection/>
    </xf>
    <xf numFmtId="0" fontId="10" fillId="33" borderId="10" xfId="57" applyFont="1" applyFill="1" applyBorder="1" applyAlignment="1">
      <alignment vertical="center"/>
      <protection/>
    </xf>
    <xf numFmtId="0" fontId="10" fillId="0" borderId="10" xfId="57" applyFont="1" applyFill="1" applyBorder="1" applyAlignment="1">
      <alignment vertical="center"/>
      <protection/>
    </xf>
    <xf numFmtId="0" fontId="10" fillId="33" borderId="10" xfId="57" applyFont="1" applyFill="1" applyBorder="1" applyAlignment="1">
      <alignment vertical="center" wrapText="1"/>
      <protection/>
    </xf>
    <xf numFmtId="0" fontId="58" fillId="33" borderId="10" xfId="57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wrapText="1"/>
      <protection/>
    </xf>
    <xf numFmtId="0" fontId="3" fillId="0" borderId="0" xfId="57" applyFont="1" applyFill="1" applyBorder="1" applyAlignment="1">
      <alignment vertical="top"/>
      <protection/>
    </xf>
    <xf numFmtId="0" fontId="3" fillId="0" borderId="0" xfId="57" applyFont="1" applyAlignment="1">
      <alignment horizontal="center" vertical="center" wrapText="1"/>
      <protection/>
    </xf>
    <xf numFmtId="0" fontId="11" fillId="0" borderId="0" xfId="57" applyFont="1">
      <alignment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vertical="center" wrapText="1"/>
      <protection/>
    </xf>
    <xf numFmtId="1" fontId="5" fillId="33" borderId="0" xfId="57" applyNumberFormat="1" applyFont="1" applyFill="1">
      <alignment/>
      <protection/>
    </xf>
    <xf numFmtId="0" fontId="5" fillId="33" borderId="0" xfId="57" applyFont="1" applyFill="1">
      <alignment/>
      <protection/>
    </xf>
    <xf numFmtId="1" fontId="11" fillId="33" borderId="0" xfId="57" applyNumberFormat="1" applyFont="1" applyFill="1">
      <alignment/>
      <protection/>
    </xf>
    <xf numFmtId="0" fontId="11" fillId="33" borderId="0" xfId="57" applyFont="1" applyFill="1">
      <alignment/>
      <protection/>
    </xf>
    <xf numFmtId="0" fontId="11" fillId="0" borderId="0" xfId="57" applyFont="1" applyFill="1">
      <alignment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>
      <alignment/>
      <protection/>
    </xf>
    <xf numFmtId="0" fontId="3" fillId="0" borderId="10" xfId="57" applyFont="1" applyBorder="1">
      <alignment/>
      <protection/>
    </xf>
    <xf numFmtId="0" fontId="3" fillId="0" borderId="0" xfId="57" applyFont="1">
      <alignment/>
      <protection/>
    </xf>
    <xf numFmtId="178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10" fillId="33" borderId="10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10" fillId="33" borderId="10" xfId="57" applyFont="1" applyFill="1" applyBorder="1" applyAlignment="1">
      <alignment horizontal="left" vertical="center" wrapText="1"/>
      <protection/>
    </xf>
    <xf numFmtId="2" fontId="10" fillId="34" borderId="10" xfId="57" applyNumberFormat="1" applyFont="1" applyFill="1" applyBorder="1" applyAlignment="1">
      <alignment horizontal="center" vertical="center"/>
      <protection/>
    </xf>
    <xf numFmtId="178" fontId="12" fillId="33" borderId="10" xfId="57" applyNumberFormat="1" applyFont="1" applyFill="1" applyBorder="1" applyAlignment="1">
      <alignment horizontal="center" vertical="center"/>
      <protection/>
    </xf>
    <xf numFmtId="178" fontId="12" fillId="0" borderId="10" xfId="57" applyNumberFormat="1" applyFont="1" applyFill="1" applyBorder="1" applyAlignment="1">
      <alignment horizontal="center" vertical="center"/>
      <protection/>
    </xf>
    <xf numFmtId="178" fontId="13" fillId="0" borderId="10" xfId="57" applyNumberFormat="1" applyFont="1" applyFill="1" applyBorder="1" applyAlignment="1">
      <alignment horizontal="center" vertical="center"/>
      <protection/>
    </xf>
    <xf numFmtId="178" fontId="13" fillId="33" borderId="10" xfId="57" applyNumberFormat="1" applyFont="1" applyFill="1" applyBorder="1" applyAlignment="1">
      <alignment horizontal="center" vertical="center"/>
      <protection/>
    </xf>
    <xf numFmtId="1" fontId="12" fillId="0" borderId="10" xfId="57" applyNumberFormat="1" applyFont="1" applyFill="1" applyBorder="1" applyAlignment="1">
      <alignment horizontal="center" vertical="center"/>
      <protection/>
    </xf>
    <xf numFmtId="178" fontId="12" fillId="0" borderId="10" xfId="57" applyNumberFormat="1" applyFont="1" applyFill="1" applyBorder="1" applyAlignment="1">
      <alignment horizontal="center" vertical="center" wrapText="1"/>
      <protection/>
    </xf>
    <xf numFmtId="178" fontId="14" fillId="35" borderId="10" xfId="57" applyNumberFormat="1" applyFont="1" applyFill="1" applyBorder="1" applyAlignment="1">
      <alignment horizontal="center" vertical="center"/>
      <protection/>
    </xf>
    <xf numFmtId="181" fontId="12" fillId="33" borderId="10" xfId="57" applyNumberFormat="1" applyFont="1" applyFill="1" applyBorder="1" applyAlignment="1">
      <alignment horizontal="center" vertical="center"/>
      <protection/>
    </xf>
    <xf numFmtId="0" fontId="13" fillId="33" borderId="10" xfId="57" applyFont="1" applyFill="1" applyBorder="1" applyAlignment="1">
      <alignment vertical="center"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 vertical="center"/>
      <protection/>
    </xf>
    <xf numFmtId="0" fontId="13" fillId="0" borderId="0" xfId="57" applyFont="1" applyBorder="1">
      <alignment/>
      <protection/>
    </xf>
    <xf numFmtId="0" fontId="12" fillId="0" borderId="0" xfId="57" applyFont="1">
      <alignment/>
      <protection/>
    </xf>
    <xf numFmtId="178" fontId="8" fillId="0" borderId="10" xfId="57" applyNumberFormat="1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178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vertical="center" wrapText="1"/>
      <protection/>
    </xf>
    <xf numFmtId="182" fontId="12" fillId="0" borderId="10" xfId="57" applyNumberFormat="1" applyFont="1" applyFill="1" applyBorder="1" applyAlignment="1">
      <alignment horizontal="center" vertical="center"/>
      <protection/>
    </xf>
    <xf numFmtId="2" fontId="13" fillId="33" borderId="10" xfId="57" applyNumberFormat="1" applyFont="1" applyFill="1" applyBorder="1" applyAlignment="1">
      <alignment horizontal="center" vertical="center"/>
      <protection/>
    </xf>
    <xf numFmtId="0" fontId="13" fillId="33" borderId="10" xfId="57" applyFont="1" applyFill="1" applyBorder="1" applyAlignment="1">
      <alignment horizontal="center" vertical="center"/>
      <protection/>
    </xf>
    <xf numFmtId="188" fontId="6" fillId="0" borderId="0" xfId="57" applyNumberFormat="1" applyFont="1">
      <alignment/>
      <protection/>
    </xf>
    <xf numFmtId="0" fontId="13" fillId="0" borderId="0" xfId="57" applyFont="1" applyBorder="1" applyAlignment="1">
      <alignment horizontal="left" vertical="center"/>
      <protection/>
    </xf>
    <xf numFmtId="0" fontId="10" fillId="33" borderId="17" xfId="57" applyFont="1" applyFill="1" applyBorder="1" applyAlignment="1">
      <alignment vertical="center"/>
      <protection/>
    </xf>
    <xf numFmtId="0" fontId="15" fillId="33" borderId="0" xfId="57" applyFont="1" applyFill="1" applyBorder="1" applyAlignment="1">
      <alignment horizontal="center" vertical="center"/>
      <protection/>
    </xf>
    <xf numFmtId="178" fontId="10" fillId="33" borderId="0" xfId="57" applyNumberFormat="1" applyFont="1" applyFill="1" applyBorder="1" applyAlignment="1">
      <alignment horizontal="left" vertical="center" wrapText="1"/>
      <protection/>
    </xf>
    <xf numFmtId="0" fontId="10" fillId="33" borderId="0" xfId="57" applyFont="1" applyFill="1" applyBorder="1" applyAlignment="1">
      <alignment horizontal="left" vertical="center" wrapText="1"/>
      <protection/>
    </xf>
    <xf numFmtId="0" fontId="3" fillId="33" borderId="0" xfId="57" applyFont="1" applyFill="1" applyAlignment="1">
      <alignment vertical="center" wrapText="1"/>
      <protection/>
    </xf>
    <xf numFmtId="178" fontId="3" fillId="33" borderId="0" xfId="57" applyNumberFormat="1" applyFont="1" applyFill="1" applyBorder="1" applyAlignment="1">
      <alignment horizontal="center" vertical="center"/>
      <protection/>
    </xf>
    <xf numFmtId="0" fontId="13" fillId="33" borderId="0" xfId="57" applyFont="1" applyFill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center" vertical="center"/>
      <protection/>
    </xf>
    <xf numFmtId="0" fontId="10" fillId="33" borderId="17" xfId="57" applyFont="1" applyFill="1" applyBorder="1" applyAlignment="1">
      <alignment horizontal="center" vertical="center"/>
      <protection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2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4" borderId="19" xfId="57" applyFont="1" applyFill="1" applyBorder="1" applyAlignment="1">
      <alignment horizontal="center" vertical="center"/>
      <protection/>
    </xf>
    <xf numFmtId="0" fontId="3" fillId="34" borderId="21" xfId="57" applyFont="1" applyFill="1" applyBorder="1" applyAlignment="1">
      <alignment horizontal="center" vertical="center"/>
      <protection/>
    </xf>
    <xf numFmtId="0" fontId="3" fillId="34" borderId="17" xfId="57" applyFont="1" applyFill="1" applyBorder="1" applyAlignment="1">
      <alignment horizontal="center" vertical="center"/>
      <protection/>
    </xf>
    <xf numFmtId="0" fontId="1" fillId="36" borderId="0" xfId="57" applyFont="1" applyFill="1" applyAlignment="1">
      <alignment horizontal="center" vertical="center"/>
      <protection/>
    </xf>
    <xf numFmtId="0" fontId="16" fillId="0" borderId="0" xfId="57" applyFont="1" applyAlignment="1">
      <alignment horizontal="center" vertical="center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21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S14" sqref="S14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87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88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1.146144</v>
      </c>
      <c r="F7" s="58" t="s">
        <v>81</v>
      </c>
      <c r="G7" s="58">
        <v>0.5077328</v>
      </c>
      <c r="H7" s="58" t="s">
        <v>51</v>
      </c>
      <c r="I7" s="60">
        <f aca="true" t="shared" si="0" ref="I7:I26">SUM(E7:H7)</f>
        <v>1.6538768</v>
      </c>
      <c r="J7" s="58">
        <v>41.1334336</v>
      </c>
      <c r="K7" s="58">
        <v>759.8079008000002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 t="e">
        <f>(W7+#REF!+#REF!+#REF!+#REF!+#REF!+#REF!+#REF!+#REF!+#REF!+#REF!+#REF!+#REF!+#REF!+#REF!+#REF!+#REF!+#REF!+#REF!+#REF!+#REF!+#REF!+#REF!+#REF!+#REF!+#REF!+#REF!+#REF!+#REF!+#REF!+#REF!)/31</f>
        <v>#REF!</v>
      </c>
      <c r="Y7" s="59">
        <v>0.34316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0.25654</v>
      </c>
      <c r="F8" s="58">
        <v>0.1407</v>
      </c>
      <c r="G8" s="58">
        <v>0.46406</v>
      </c>
      <c r="H8" s="58" t="s">
        <v>56</v>
      </c>
      <c r="I8" s="60">
        <f t="shared" si="0"/>
        <v>0.8613</v>
      </c>
      <c r="J8" s="58">
        <v>21.2852</v>
      </c>
      <c r="K8" s="58">
        <v>367.5704199999999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53</v>
      </c>
      <c r="W8" s="62">
        <f>(10000*V8)/(120*99)</f>
        <v>44.612794612794616</v>
      </c>
      <c r="X8" s="62" t="e">
        <f>(W8+#REF!+#REF!+#REF!+#REF!+#REF!+#REF!+#REF!+#REF!+#REF!+#REF!+#REF!+#REF!+#REF!+#REF!+#REF!+#REF!+#REF!+#REF!+#REF!+#REF!+#REF!+#REF!+#REF!+#REF!+#REF!+#REF!+#REF!+#REF!+#REF!+#REF!)/31</f>
        <v>#REF!</v>
      </c>
      <c r="Y8" s="59">
        <v>0.28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0.097</v>
      </c>
      <c r="G9" s="58">
        <v>0.215</v>
      </c>
      <c r="H9" s="64"/>
      <c r="I9" s="60">
        <f t="shared" si="0"/>
        <v>0.312</v>
      </c>
      <c r="J9" s="59">
        <v>7.7883000000000004</v>
      </c>
      <c r="K9" s="59">
        <v>115.57250000000002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 t="e">
        <f>(W9+#REF!+#REF!+#REF!+#REF!+#REF!+#REF!+#REF!+#REF!+#REF!+#REF!+#REF!+#REF!+#REF!+#REF!+#REF!+#REF!+#REF!+#REF!+#REF!+#REF!+#REF!+#REF!+#REF!+#REF!+#REF!+#REF!+#REF!+#REF!+#REF!+#REF!)/31</f>
        <v>#REF!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0.14832</v>
      </c>
      <c r="G10" s="59">
        <v>0.3516</v>
      </c>
      <c r="H10" s="64"/>
      <c r="I10" s="60">
        <f t="shared" si="0"/>
        <v>0.49992000000000003</v>
      </c>
      <c r="J10" s="59">
        <v>12.93252</v>
      </c>
      <c r="K10" s="59">
        <v>152.80653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 t="e">
        <f>(W10+#REF!+#REF!+#REF!+#REF!+#REF!+#REF!+#REF!+#REF!+#REF!+#REF!+#REF!+#REF!+#REF!+#REF!+#REF!+#REF!+#REF!+#REF!+#REF!+#REF!+#REF!+#REF!+#REF!+#REF!+#REF!+#REF!+#REF!+#REF!+#REF!+#REF!)/31</f>
        <v>#REF!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 t="s">
        <v>51</v>
      </c>
      <c r="F11" s="59">
        <v>0.24258</v>
      </c>
      <c r="G11" s="59">
        <v>0.10134</v>
      </c>
      <c r="H11" s="64" t="s">
        <v>49</v>
      </c>
      <c r="I11" s="60">
        <f>SUM(E11:H11)</f>
        <v>0.34392</v>
      </c>
      <c r="J11" s="59">
        <v>8.836200000000003</v>
      </c>
      <c r="K11" s="59">
        <v>127.93464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 t="e">
        <f>(W11+#REF!+#REF!+#REF!+#REF!+#REF!+#REF!+#REF!+#REF!+#REF!+#REF!+#REF!+#REF!+#REF!+#REF!+#REF!+#REF!+#REF!+#REF!+#REF!+#REF!+#REF!+#REF!+#REF!+#REF!+#REF!+#REF!+#REF!+#REF!+#REF!+#REF!)/31</f>
        <v>#REF!</v>
      </c>
      <c r="Y11" s="59">
        <v>0.05</v>
      </c>
      <c r="Z11" s="63" t="s">
        <v>83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 t="s">
        <v>51</v>
      </c>
      <c r="F12" s="58" t="s">
        <v>51</v>
      </c>
      <c r="G12" s="58" t="s">
        <v>51</v>
      </c>
      <c r="H12" s="64"/>
      <c r="I12" s="60">
        <f t="shared" si="0"/>
        <v>0</v>
      </c>
      <c r="J12" s="58">
        <v>11.942493</v>
      </c>
      <c r="K12" s="58">
        <v>466.36044899999996</v>
      </c>
      <c r="L12" s="61"/>
      <c r="M12" s="61"/>
      <c r="N12" s="61"/>
      <c r="O12" s="59"/>
      <c r="P12" s="59"/>
      <c r="Q12" s="59"/>
      <c r="R12" s="59"/>
      <c r="S12" s="59"/>
      <c r="T12" s="59">
        <v>0.658104</v>
      </c>
      <c r="U12" s="60">
        <f>SUM(O12:T12)</f>
        <v>0.658104</v>
      </c>
      <c r="V12" s="62">
        <v>0</v>
      </c>
      <c r="W12" s="62">
        <f>(10000*V12)/(90*99.3)</f>
        <v>0</v>
      </c>
      <c r="X12" s="62" t="e">
        <f>(W12+#REF!+#REF!+#REF!+#REF!+#REF!+#REF!+#REF!+#REF!+#REF!+#REF!+#REF!+#REF!+#REF!+#REF!+#REF!+#REF!+#REF!+#REF!+#REF!+#REF!+#REF!+#REF!+#REF!+#REF!+#REF!+#REF!+#REF!+#REF!+#REF!+#REF!)/31</f>
        <v>#REF!</v>
      </c>
      <c r="Y12" s="59">
        <v>0</v>
      </c>
      <c r="Z12" s="63" t="s">
        <v>85</v>
      </c>
    </row>
    <row r="13" spans="1:26" s="46" customFormat="1" ht="60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0.475</v>
      </c>
      <c r="F13" s="58" t="s">
        <v>51</v>
      </c>
      <c r="G13" s="58">
        <v>1.351</v>
      </c>
      <c r="H13" s="58" t="s">
        <v>51</v>
      </c>
      <c r="I13" s="60">
        <f t="shared" si="0"/>
        <v>1.826</v>
      </c>
      <c r="J13" s="58">
        <v>31.958</v>
      </c>
      <c r="K13" s="58">
        <v>1205.3470000000002</v>
      </c>
      <c r="L13" s="61"/>
      <c r="M13" s="61"/>
      <c r="N13" s="61"/>
      <c r="O13" s="59"/>
      <c r="P13" s="59"/>
      <c r="Q13" s="59"/>
      <c r="R13" s="59"/>
      <c r="S13" s="59"/>
      <c r="T13" s="59"/>
      <c r="U13" s="60">
        <f>SUM(O13:T13)</f>
        <v>0</v>
      </c>
      <c r="V13" s="62">
        <v>152</v>
      </c>
      <c r="W13" s="62">
        <f>(10000*V13)/(304*99)</f>
        <v>50.505050505050505</v>
      </c>
      <c r="X13" s="62" t="e">
        <f>(W13+#REF!+#REF!+#REF!+#REF!+#REF!+#REF!+#REF!+#REF!+#REF!+#REF!+#REF!+#REF!+#REF!+#REF!+#REF!+#REF!+#REF!+#REF!+#REF!+#REF!+#REF!+#REF!+#REF!+#REF!+#REF!+#REF!+#REF!+#REF!+#REF!+#REF!)/31</f>
        <v>#REF!</v>
      </c>
      <c r="Y13" s="59">
        <v>0.457</v>
      </c>
      <c r="Z13" s="63" t="s">
        <v>86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0.777</v>
      </c>
      <c r="F14" s="58">
        <v>0.798</v>
      </c>
      <c r="G14" s="58" t="s">
        <v>51</v>
      </c>
      <c r="H14" s="58">
        <v>0.691</v>
      </c>
      <c r="I14" s="60">
        <f t="shared" si="0"/>
        <v>2.266</v>
      </c>
      <c r="J14" s="58">
        <v>56.29600000000001</v>
      </c>
      <c r="K14" s="58">
        <v>708.5129999999999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97</v>
      </c>
      <c r="W14" s="62">
        <f>(10000*V14)/(144*99)</f>
        <v>68.04152637485971</v>
      </c>
      <c r="X14" s="62" t="e">
        <f>(W14+#REF!+#REF!+#REF!+#REF!+#REF!+#REF!+#REF!+#REF!+#REF!+#REF!+#REF!+#REF!+#REF!+#REF!+#REF!+#REF!+#REF!+#REF!+#REF!+#REF!+#REF!+#REF!+#REF!+#REF!+#REF!+#REF!+#REF!+#REF!+#REF!+#REF!)/31</f>
        <v>#REF!</v>
      </c>
      <c r="Y14" s="59">
        <v>0.292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>
        <v>0.826</v>
      </c>
      <c r="G15" s="59" t="s">
        <v>56</v>
      </c>
      <c r="H15" s="64"/>
      <c r="I15" s="60">
        <f t="shared" si="0"/>
        <v>0.826</v>
      </c>
      <c r="J15" s="58">
        <v>46.66799999999999</v>
      </c>
      <c r="K15" s="59">
        <v>320.20300000000003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35</v>
      </c>
      <c r="W15" s="62">
        <f>(10000*V15)/(198*99.3)</f>
        <v>17.801377317993634</v>
      </c>
      <c r="X15" s="62" t="e">
        <f>(W15+#REF!+#REF!+#REF!+#REF!+#REF!+#REF!+#REF!+#REF!+#REF!+#REF!+#REF!+#REF!+#REF!+#REF!+#REF!+#REF!+#REF!+#REF!+#REF!+#REF!+#REF!+#REF!+#REF!+#REF!+#REF!+#REF!+#REF!+#REF!+#REF!+#REF!)/31</f>
        <v>#REF!</v>
      </c>
      <c r="Y15" s="59">
        <v>0.826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 t="s">
        <v>56</v>
      </c>
      <c r="F16" s="59">
        <v>0.274</v>
      </c>
      <c r="G16" s="59">
        <v>0.231</v>
      </c>
      <c r="H16" s="64"/>
      <c r="I16" s="60">
        <f t="shared" si="0"/>
        <v>0.505</v>
      </c>
      <c r="J16" s="58">
        <v>12.58</v>
      </c>
      <c r="K16" s="59">
        <v>205.373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 t="e">
        <f>(W16+#REF!+#REF!+#REF!+#REF!+#REF!+#REF!+#REF!+#REF!+#REF!+#REF!+#REF!+#REF!+#REF!+#REF!+#REF!+#REF!+#REF!+#REF!+#REF!+#REF!+#REF!+#REF!+#REF!+#REF!+#REF!+#REF!+#REF!+#REF!+#REF!+#REF!)/31</f>
        <v>#REF!</v>
      </c>
      <c r="Y16" s="59">
        <v>0.122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0.125981</v>
      </c>
      <c r="F17" s="59" t="s">
        <v>56</v>
      </c>
      <c r="G17" s="59">
        <v>0.127611</v>
      </c>
      <c r="H17" s="64"/>
      <c r="I17" s="60">
        <f t="shared" si="0"/>
        <v>0.25359200000000004</v>
      </c>
      <c r="J17" s="58">
        <v>8.608812</v>
      </c>
      <c r="K17" s="59">
        <v>108.36821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11.9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0.054506</v>
      </c>
      <c r="F18" s="58">
        <v>0.009404</v>
      </c>
      <c r="G18" s="58">
        <v>0.061196</v>
      </c>
      <c r="H18" s="64"/>
      <c r="I18" s="60">
        <f t="shared" si="0"/>
        <v>0.125106</v>
      </c>
      <c r="J18" s="58">
        <v>4.115049999999998</v>
      </c>
      <c r="K18" s="59">
        <v>45.190352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5.7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0.01698</v>
      </c>
      <c r="I19" s="60">
        <f t="shared" si="0"/>
        <v>0.01698</v>
      </c>
      <c r="J19" s="58">
        <v>0.5241199999999999</v>
      </c>
      <c r="K19" s="59">
        <v>7.964110000000002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82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0.0047</v>
      </c>
      <c r="F20" s="58">
        <v>0.00203</v>
      </c>
      <c r="G20" s="64"/>
      <c r="H20" s="64"/>
      <c r="I20" s="60">
        <f t="shared" si="0"/>
        <v>0.00673</v>
      </c>
      <c r="J20" s="58">
        <v>0.24171999999999993</v>
      </c>
      <c r="K20" s="59">
        <v>3.41056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0.3</v>
      </c>
      <c r="W20" s="60"/>
      <c r="X20" s="62"/>
      <c r="Y20" s="59">
        <v>0.001803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0.0128</v>
      </c>
      <c r="F21" s="59">
        <v>0.016</v>
      </c>
      <c r="G21" s="64"/>
      <c r="H21" s="64"/>
      <c r="I21" s="60">
        <f t="shared" si="0"/>
        <v>0.0288</v>
      </c>
      <c r="J21" s="58">
        <v>0.39100000000000007</v>
      </c>
      <c r="K21" s="59">
        <v>7.6987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1.36</v>
      </c>
      <c r="W21" s="60"/>
      <c r="X21" s="62"/>
      <c r="Y21" s="59">
        <v>0.0766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2.3038950000000002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0.025855</v>
      </c>
      <c r="F23" s="59" t="s">
        <v>56</v>
      </c>
      <c r="G23" s="64"/>
      <c r="H23" s="64" t="s">
        <v>49</v>
      </c>
      <c r="I23" s="60">
        <f t="shared" si="0"/>
        <v>0.025855</v>
      </c>
      <c r="J23" s="58">
        <v>0.550291</v>
      </c>
      <c r="K23" s="59">
        <v>14.134148999999997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1.15</v>
      </c>
      <c r="W23" s="60"/>
      <c r="X23" s="62"/>
      <c r="Y23" s="59">
        <v>0.0066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0.28572</v>
      </c>
      <c r="G24" s="64"/>
      <c r="H24" s="64"/>
      <c r="I24" s="60">
        <f t="shared" si="0"/>
        <v>0.28572</v>
      </c>
      <c r="J24" s="58">
        <v>11.1623</v>
      </c>
      <c r="K24" s="59">
        <v>310.73522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0.2742</v>
      </c>
      <c r="Z24" s="63" t="s">
        <v>82</v>
      </c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0.038428</v>
      </c>
      <c r="F25" s="59" t="s">
        <v>56</v>
      </c>
      <c r="G25" s="64"/>
      <c r="H25" s="64"/>
      <c r="I25" s="60">
        <f t="shared" si="0"/>
        <v>0.038428</v>
      </c>
      <c r="J25" s="58">
        <v>0.9772879999999999</v>
      </c>
      <c r="K25" s="59">
        <v>20.117573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2.25</v>
      </c>
      <c r="W25" s="59"/>
      <c r="X25" s="62"/>
      <c r="Y25" s="59">
        <v>0.01275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0.26934199999999997</v>
      </c>
      <c r="K26" s="59">
        <v>0.591865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9.8752278</v>
      </c>
      <c r="J27" s="61">
        <f>SUM(J7:J26)</f>
        <v>278.2600696</v>
      </c>
      <c r="K27" s="61">
        <f>SUM(K7:K26)</f>
        <v>4950.003073800001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0.658104</v>
      </c>
      <c r="U27" s="61">
        <f t="shared" si="2"/>
        <v>0.658104</v>
      </c>
      <c r="V27" s="78">
        <f t="shared" si="2"/>
        <v>625.36</v>
      </c>
      <c r="W27" s="60"/>
      <c r="X27" s="60"/>
      <c r="Y27" s="60">
        <f>SUM(Y7:Y26)</f>
        <v>2.9932130000000003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C33:Z33"/>
    <mergeCell ref="B28:Z28"/>
    <mergeCell ref="A29:Z29"/>
    <mergeCell ref="A30:B30"/>
    <mergeCell ref="C30:Z30"/>
    <mergeCell ref="C31:E31"/>
    <mergeCell ref="C32:J32"/>
    <mergeCell ref="V5:V6"/>
    <mergeCell ref="W5:W6"/>
    <mergeCell ref="X5:X6"/>
    <mergeCell ref="Y5:Y6"/>
    <mergeCell ref="Z5:Z6"/>
    <mergeCell ref="A27:B27"/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Q15" sqref="Q15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112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0.723632</v>
      </c>
      <c r="F7" s="58" t="s">
        <v>81</v>
      </c>
      <c r="G7" s="58">
        <v>0.3819104</v>
      </c>
      <c r="H7" s="58" t="s">
        <v>51</v>
      </c>
      <c r="I7" s="60">
        <f aca="true" t="shared" si="0" ref="I7:I26">SUM(E7:H7)</f>
        <v>1.1055424</v>
      </c>
      <c r="J7" s="58">
        <v>10.946231999999998</v>
      </c>
      <c r="K7" s="58">
        <v>10.946231999999998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(W7+'01'!W7+'02'!W7+'03'!W7+'04'!W7+'05'!W7+'06'!W7+'07'!W7+'08'!W7)/9</f>
        <v>44.28137651821862</v>
      </c>
      <c r="Y7" s="59">
        <v>0.34328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0.41438</v>
      </c>
      <c r="F8" s="58" t="s">
        <v>56</v>
      </c>
      <c r="G8" s="58" t="s">
        <v>56</v>
      </c>
      <c r="H8" s="58">
        <v>0.1741</v>
      </c>
      <c r="I8" s="60">
        <f t="shared" si="0"/>
        <v>0.58848</v>
      </c>
      <c r="J8" s="58">
        <v>5.827324</v>
      </c>
      <c r="K8" s="58">
        <v>5.827324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54</v>
      </c>
      <c r="W8" s="62">
        <f>(10000*V8)/(120*99)</f>
        <v>45.45454545454545</v>
      </c>
      <c r="X8" s="62">
        <f>(W8+'01'!W8+'02'!W8+'03'!W8+'04'!W8+'05'!W8+'06'!W8+'07'!W8+'08'!W8)/9</f>
        <v>44.986906098017215</v>
      </c>
      <c r="Y8" s="59">
        <v>0.162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0.084</v>
      </c>
      <c r="G9" s="58">
        <v>0.1332</v>
      </c>
      <c r="H9" s="64"/>
      <c r="I9" s="60">
        <f t="shared" si="0"/>
        <v>0.2172</v>
      </c>
      <c r="J9" s="59">
        <v>2.1349</v>
      </c>
      <c r="K9" s="59">
        <v>2.1349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(W9+'01'!W9+'02'!W9+'03'!W9+'04'!W9+'05'!W9+'06'!W9+'07'!W9+'08'!W9)/9</f>
        <v>55.20122337846407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0.17196</v>
      </c>
      <c r="G10" s="59">
        <v>0.17232</v>
      </c>
      <c r="H10" s="64"/>
      <c r="I10" s="60">
        <f t="shared" si="0"/>
        <v>0.34428000000000003</v>
      </c>
      <c r="J10" s="59">
        <v>3.5140499999999997</v>
      </c>
      <c r="K10" s="59">
        <v>3.5140499999999997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(W10+'01'!W10+'02'!W10+'03'!W10+'04'!W10+'05'!W10+'06'!W10+'07'!W10+'08'!W10)/9</f>
        <v>64.1747131883972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0.15966</v>
      </c>
      <c r="F11" s="59" t="s">
        <v>51</v>
      </c>
      <c r="G11" s="59">
        <v>0.08658</v>
      </c>
      <c r="H11" s="64" t="s">
        <v>49</v>
      </c>
      <c r="I11" s="60">
        <f>SUM(E11:H11)</f>
        <v>0.24624000000000001</v>
      </c>
      <c r="J11" s="59">
        <v>2.4294000000000002</v>
      </c>
      <c r="K11" s="59">
        <v>2.4294000000000002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(W11+'01'!W11+'02'!W11+'03'!W11+'04'!W11+'05'!W11+'06'!W11+'07'!W11+'08'!W11)/9</f>
        <v>67.13662302786169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0.105659</v>
      </c>
      <c r="F12" s="58">
        <v>0.52106</v>
      </c>
      <c r="G12" s="58" t="s">
        <v>51</v>
      </c>
      <c r="H12" s="64"/>
      <c r="I12" s="60">
        <f t="shared" si="0"/>
        <v>0.626719</v>
      </c>
      <c r="J12" s="58">
        <v>5.773896000000001</v>
      </c>
      <c r="K12" s="58">
        <v>5.773896000000001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(W12+'01'!W12+'02'!W12+'03'!W12+'04'!W12+'05'!W12+'06'!W12+'07'!W12+'08'!W12)/9</f>
        <v>70.49345417925478</v>
      </c>
      <c r="Y12" s="59">
        <v>0.208533</v>
      </c>
      <c r="Z12" s="63" t="s">
        <v>93</v>
      </c>
    </row>
    <row r="13" spans="1:26" s="46" customFormat="1" ht="48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0.242</v>
      </c>
      <c r="F13" s="58" t="s">
        <v>51</v>
      </c>
      <c r="G13" s="58">
        <v>0.34</v>
      </c>
      <c r="H13" s="58">
        <v>1.272</v>
      </c>
      <c r="I13" s="60">
        <f t="shared" si="0"/>
        <v>1.854</v>
      </c>
      <c r="J13" s="58">
        <v>15.980999999999998</v>
      </c>
      <c r="K13" s="58">
        <v>15.980999999999998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(W13+'01'!W13+'02'!W13+'03'!W13+'04'!W13+'05'!W13+'06'!W13+'07'!W13+'08'!W13)/9</f>
        <v>68.59530982337999</v>
      </c>
      <c r="Y13" s="59">
        <v>0.687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0.642</v>
      </c>
      <c r="F14" s="58">
        <v>0.656</v>
      </c>
      <c r="G14" s="58" t="s">
        <v>51</v>
      </c>
      <c r="H14" s="58">
        <v>0.582</v>
      </c>
      <c r="I14" s="60">
        <f t="shared" si="0"/>
        <v>1.88</v>
      </c>
      <c r="J14" s="58">
        <v>17.79</v>
      </c>
      <c r="K14" s="58">
        <v>17.79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90</v>
      </c>
      <c r="W14" s="62">
        <f>(10000*V14)/(144*99)</f>
        <v>63.13131313131313</v>
      </c>
      <c r="X14" s="62">
        <f>(W14+'01'!W14+'02'!W14+'03'!W14+'04'!W14+'05'!W14+'06'!W14+'07'!W14+'08'!W14)/9</f>
        <v>65.70332959221848</v>
      </c>
      <c r="Y14" s="59">
        <v>0.308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 t="s">
        <v>56</v>
      </c>
      <c r="G15" s="59" t="s">
        <v>56</v>
      </c>
      <c r="H15" s="64"/>
      <c r="I15" s="60">
        <f t="shared" si="0"/>
        <v>0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(W15+'01'!W15+'02'!W15+'03'!W15+'04'!W15+'05'!W15+'06'!W15+'07'!W15+'08'!W15)/9</f>
        <v>1.9779308131104036</v>
      </c>
      <c r="Y15" s="59">
        <v>0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0.251</v>
      </c>
      <c r="F16" s="59" t="s">
        <v>56</v>
      </c>
      <c r="G16" s="59">
        <v>0.103</v>
      </c>
      <c r="H16" s="64"/>
      <c r="I16" s="60">
        <f t="shared" si="0"/>
        <v>0.354</v>
      </c>
      <c r="J16" s="58">
        <v>3.4059999999999997</v>
      </c>
      <c r="K16" s="59">
        <v>3.4059999999999997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>
        <f>(W16+'01'!W16+'02'!W16+'03'!W16+'04'!W16+'05'!W16+'06'!W16+'07'!W16+'08'!W16)/9</f>
        <v>69.4003914615831</v>
      </c>
      <c r="Y16" s="59">
        <v>0.096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0.106257</v>
      </c>
      <c r="F17" s="59">
        <v>0.11834</v>
      </c>
      <c r="G17" s="59">
        <v>0.122281</v>
      </c>
      <c r="H17" s="64"/>
      <c r="I17" s="60">
        <f t="shared" si="0"/>
        <v>0.346878</v>
      </c>
      <c r="J17" s="58">
        <v>2.3857739999999996</v>
      </c>
      <c r="K17" s="59">
        <v>2.3857739999999996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16.7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0.056818</v>
      </c>
      <c r="F18" s="58">
        <v>0.042922</v>
      </c>
      <c r="G18" s="58">
        <v>0.060646</v>
      </c>
      <c r="H18" s="64"/>
      <c r="I18" s="60">
        <f t="shared" si="0"/>
        <v>0.160386</v>
      </c>
      <c r="J18" s="58">
        <v>1.0576079999999999</v>
      </c>
      <c r="K18" s="59">
        <v>1.0576079999999999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7.8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>
        <v>0.00141</v>
      </c>
      <c r="H19" s="58">
        <v>0.01422</v>
      </c>
      <c r="I19" s="60">
        <f t="shared" si="0"/>
        <v>0.01563</v>
      </c>
      <c r="J19" s="58">
        <v>0.14621</v>
      </c>
      <c r="K19" s="59">
        <v>0.14621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82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</v>
      </c>
      <c r="F20" s="58">
        <v>0.0032</v>
      </c>
      <c r="G20" s="64"/>
      <c r="H20" s="64"/>
      <c r="I20" s="60">
        <f t="shared" si="0"/>
        <v>0.0032</v>
      </c>
      <c r="J20" s="58">
        <v>0.045270000000000005</v>
      </c>
      <c r="K20" s="59">
        <v>0.045270000000000005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0.544</v>
      </c>
      <c r="W20" s="60"/>
      <c r="X20" s="62"/>
      <c r="Y20" s="59">
        <v>0.00111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0.022</v>
      </c>
      <c r="F21" s="59">
        <v>0.018</v>
      </c>
      <c r="G21" s="64"/>
      <c r="H21" s="64"/>
      <c r="I21" s="60">
        <f t="shared" si="0"/>
        <v>0.039999999999999994</v>
      </c>
      <c r="J21" s="58">
        <v>0.325</v>
      </c>
      <c r="K21" s="59">
        <v>0.325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1.78</v>
      </c>
      <c r="W21" s="60"/>
      <c r="X21" s="62"/>
      <c r="Y21" s="59">
        <v>0.00982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0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0.018512</v>
      </c>
      <c r="F23" s="59" t="s">
        <v>56</v>
      </c>
      <c r="G23" s="64"/>
      <c r="H23" s="64" t="s">
        <v>49</v>
      </c>
      <c r="I23" s="60">
        <f t="shared" si="0"/>
        <v>0.018512</v>
      </c>
      <c r="J23" s="58">
        <v>0.184789</v>
      </c>
      <c r="K23" s="59">
        <v>0.184789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0.95</v>
      </c>
      <c r="W23" s="60"/>
      <c r="X23" s="62"/>
      <c r="Y23" s="59">
        <v>0.00505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0.2444</v>
      </c>
      <c r="G24" s="64"/>
      <c r="H24" s="64"/>
      <c r="I24" s="60">
        <f t="shared" si="0"/>
        <v>0.2444</v>
      </c>
      <c r="J24" s="58">
        <v>2.3208</v>
      </c>
      <c r="K24" s="59">
        <v>2.3208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0.2444</v>
      </c>
      <c r="Z24" s="63" t="s">
        <v>82</v>
      </c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0.035637</v>
      </c>
      <c r="F25" s="59" t="s">
        <v>56</v>
      </c>
      <c r="G25" s="64"/>
      <c r="H25" s="64"/>
      <c r="I25" s="60">
        <f t="shared" si="0"/>
        <v>0.035637</v>
      </c>
      <c r="J25" s="58">
        <v>0.366402</v>
      </c>
      <c r="K25" s="59">
        <v>0.366402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</v>
      </c>
      <c r="W25" s="59"/>
      <c r="X25" s="62"/>
      <c r="Y25" s="59">
        <v>0.0083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8.0811044</v>
      </c>
      <c r="J27" s="61">
        <f>SUM(J7:J26)</f>
        <v>75.145655</v>
      </c>
      <c r="K27" s="61">
        <f>SUM(K7:K26)</f>
        <v>75.145655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736.474</v>
      </c>
      <c r="W27" s="60"/>
      <c r="X27" s="60"/>
      <c r="Y27" s="60">
        <f>SUM(Y7:Y26)</f>
        <v>2.374593000000001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R14" sqref="R14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114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0.33408</v>
      </c>
      <c r="F7" s="58" t="s">
        <v>81</v>
      </c>
      <c r="G7" s="58">
        <v>0.7891568</v>
      </c>
      <c r="H7" s="58" t="s">
        <v>51</v>
      </c>
      <c r="I7" s="60">
        <f aca="true" t="shared" si="0" ref="I7:I26">SUM(E7:H7)</f>
        <v>1.1232368</v>
      </c>
      <c r="J7" s="58">
        <v>12.0694688</v>
      </c>
      <c r="K7" s="58">
        <v>12.0694688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(W7+'01'!W7+'02'!W7+'03'!W7+'04'!W7+'05'!W7+'06'!W7+'07'!W7+'08'!W7+'09'!W7)/10</f>
        <v>44.28137651821862</v>
      </c>
      <c r="Y7" s="59">
        <v>0.33744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0.223</v>
      </c>
      <c r="F8" s="58">
        <v>0.13886</v>
      </c>
      <c r="G8" s="58">
        <v>0.18928</v>
      </c>
      <c r="H8" s="58">
        <v>0.03036</v>
      </c>
      <c r="I8" s="60">
        <f t="shared" si="0"/>
        <v>0.5815</v>
      </c>
      <c r="J8" s="58">
        <v>6.408824</v>
      </c>
      <c r="K8" s="58">
        <v>6.408824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54</v>
      </c>
      <c r="W8" s="62">
        <f>(10000*V8)/(120*99)</f>
        <v>45.45454545454545</v>
      </c>
      <c r="X8" s="62">
        <f>(W8+'01'!W8+'02'!W8+'03'!W8+'04'!W8+'05'!W8+'06'!W8+'07'!W8+'08'!W8+'09'!W8)/10</f>
        <v>45.033670033670035</v>
      </c>
      <c r="Y8" s="59">
        <v>0.162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0.113</v>
      </c>
      <c r="G9" s="58">
        <v>0.0995</v>
      </c>
      <c r="H9" s="64"/>
      <c r="I9" s="60">
        <f t="shared" si="0"/>
        <v>0.21250000000000002</v>
      </c>
      <c r="J9" s="59">
        <v>2.3474</v>
      </c>
      <c r="K9" s="59">
        <v>2.3474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(W9+'01'!W9+'02'!W9+'03'!W9+'04'!W9+'05'!W9+'06'!W9+'07'!W9+'08'!W9+'09'!W9)/10</f>
        <v>55.201223378464064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0.2082</v>
      </c>
      <c r="G10" s="59">
        <v>0.15036</v>
      </c>
      <c r="H10" s="64"/>
      <c r="I10" s="60">
        <f t="shared" si="0"/>
        <v>0.35856</v>
      </c>
      <c r="J10" s="59">
        <v>3.87261</v>
      </c>
      <c r="K10" s="59">
        <v>3.87261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(W10+'01'!W10+'02'!W10+'03'!W10+'04'!W10+'05'!W10+'06'!W10+'07'!W10+'08'!W10+'09'!W10)/10</f>
        <v>64.17471318839719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0.15654</v>
      </c>
      <c r="F11" s="59" t="s">
        <v>51</v>
      </c>
      <c r="G11" s="59">
        <v>0.09204</v>
      </c>
      <c r="H11" s="64" t="s">
        <v>49</v>
      </c>
      <c r="I11" s="60">
        <f>SUM(E11:H11)</f>
        <v>0.24858000000000002</v>
      </c>
      <c r="J11" s="59">
        <v>2.6779800000000002</v>
      </c>
      <c r="K11" s="59">
        <v>2.6779800000000002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(W11+'01'!W11+'02'!W11+'03'!W11+'04'!W11+'05'!W11+'06'!W11+'07'!W11+'08'!W11+'09'!W11)/10</f>
        <v>67.13662302786169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0.105647</v>
      </c>
      <c r="F12" s="58">
        <v>0.575442</v>
      </c>
      <c r="G12" s="58" t="s">
        <v>51</v>
      </c>
      <c r="H12" s="64"/>
      <c r="I12" s="60">
        <f t="shared" si="0"/>
        <v>0.681089</v>
      </c>
      <c r="J12" s="58">
        <v>6.454985000000001</v>
      </c>
      <c r="K12" s="58">
        <v>6.454985000000001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(W12+'01'!W12+'02'!W12+'03'!W12+'04'!W12+'05'!W12+'06'!W12+'07'!W12+'08'!W12+'09'!W12)/10</f>
        <v>71.0529260378203</v>
      </c>
      <c r="Y12" s="59">
        <v>0.206267</v>
      </c>
      <c r="Z12" s="63" t="s">
        <v>93</v>
      </c>
    </row>
    <row r="13" spans="1:26" s="46" customFormat="1" ht="74.2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0.27</v>
      </c>
      <c r="F13" s="58" t="s">
        <v>51</v>
      </c>
      <c r="G13" s="58">
        <v>0.245</v>
      </c>
      <c r="H13" s="58">
        <v>1.099</v>
      </c>
      <c r="I13" s="60">
        <f t="shared" si="0"/>
        <v>1.6139999999999999</v>
      </c>
      <c r="J13" s="58">
        <v>17.595</v>
      </c>
      <c r="K13" s="58">
        <v>17.595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(W13+'01'!W13+'02'!W13+'03'!W13+'04'!W13+'05'!W13+'06'!W13+'07'!W13+'08'!W13+'09'!W13)/10</f>
        <v>69.34476342371079</v>
      </c>
      <c r="Y13" s="59">
        <v>0.687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0.659</v>
      </c>
      <c r="F14" s="58">
        <v>0.676</v>
      </c>
      <c r="G14" s="58" t="s">
        <v>51</v>
      </c>
      <c r="H14" s="58">
        <v>0.575</v>
      </c>
      <c r="I14" s="60">
        <f t="shared" si="0"/>
        <v>1.91</v>
      </c>
      <c r="J14" s="58">
        <v>19.7</v>
      </c>
      <c r="K14" s="58">
        <v>19.7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92</v>
      </c>
      <c r="W14" s="62">
        <f>(10000*V14)/(144*99)</f>
        <v>64.53423120089786</v>
      </c>
      <c r="X14" s="62">
        <f>(W14+'01'!W14+'02'!W14+'03'!W14+'04'!W14+'05'!W14+'06'!W14+'07'!W14+'08'!W14+'09'!W14)/10</f>
        <v>65.58641975308642</v>
      </c>
      <c r="Y14" s="59">
        <v>0.395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 t="s">
        <v>56</v>
      </c>
      <c r="G15" s="59" t="s">
        <v>56</v>
      </c>
      <c r="H15" s="64"/>
      <c r="I15" s="60">
        <f t="shared" si="0"/>
        <v>0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(W15+'01'!W15+'02'!W15+'03'!W15+'04'!W15+'05'!W15+'06'!W15+'07'!W15+'08'!W15+'09'!W15)/10</f>
        <v>1.7801377317993634</v>
      </c>
      <c r="Y15" s="59">
        <v>0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0.27</v>
      </c>
      <c r="F16" s="59" t="s">
        <v>56</v>
      </c>
      <c r="G16" s="59">
        <v>0.084</v>
      </c>
      <c r="H16" s="64"/>
      <c r="I16" s="60">
        <f t="shared" si="0"/>
        <v>0.35400000000000004</v>
      </c>
      <c r="J16" s="58">
        <v>3.76</v>
      </c>
      <c r="K16" s="59">
        <v>3.76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>
        <f>(W16+'01'!W16+'02'!W16+'03'!W16+'04'!W16+'05'!W16+'06'!W16+'07'!W16+'08'!W16+'09'!W16)/10</f>
        <v>69.53593910115652</v>
      </c>
      <c r="Y16" s="59">
        <v>0.087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0.127341</v>
      </c>
      <c r="F17" s="59">
        <v>0.132909</v>
      </c>
      <c r="G17" s="59">
        <v>0.130922</v>
      </c>
      <c r="H17" s="64"/>
      <c r="I17" s="60">
        <f t="shared" si="0"/>
        <v>0.39117199999999996</v>
      </c>
      <c r="J17" s="58">
        <v>2.7769459999999997</v>
      </c>
      <c r="K17" s="59">
        <v>2.7769459999999997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16.9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0.05822</v>
      </c>
      <c r="F18" s="58">
        <v>0.05049</v>
      </c>
      <c r="G18" s="58">
        <v>0.06137</v>
      </c>
      <c r="H18" s="64"/>
      <c r="I18" s="60">
        <f t="shared" si="0"/>
        <v>0.17008</v>
      </c>
      <c r="J18" s="58">
        <v>1.227688</v>
      </c>
      <c r="K18" s="59">
        <v>1.227688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7.4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0.01212</v>
      </c>
      <c r="I19" s="60">
        <f t="shared" si="0"/>
        <v>0.01212</v>
      </c>
      <c r="J19" s="58">
        <v>0.15833</v>
      </c>
      <c r="K19" s="59">
        <v>0.15833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82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0.00517</v>
      </c>
      <c r="F20" s="58" t="s">
        <v>56</v>
      </c>
      <c r="G20" s="64"/>
      <c r="H20" s="64"/>
      <c r="I20" s="60">
        <f t="shared" si="0"/>
        <v>0.00517</v>
      </c>
      <c r="J20" s="58">
        <v>0.050440000000000006</v>
      </c>
      <c r="K20" s="59">
        <v>0.050440000000000006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0.573</v>
      </c>
      <c r="W20" s="60"/>
      <c r="X20" s="62"/>
      <c r="Y20" s="59">
        <v>0.001397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0.013</v>
      </c>
      <c r="F21" s="59">
        <v>0.012</v>
      </c>
      <c r="G21" s="64"/>
      <c r="H21" s="64"/>
      <c r="I21" s="60">
        <f t="shared" si="0"/>
        <v>0.025</v>
      </c>
      <c r="J21" s="58">
        <v>0.35000000000000003</v>
      </c>
      <c r="K21" s="59">
        <v>0.35000000000000003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1.78</v>
      </c>
      <c r="W21" s="60"/>
      <c r="X21" s="62"/>
      <c r="Y21" s="59">
        <v>0.00982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0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0.01878</v>
      </c>
      <c r="F23" s="59" t="s">
        <v>56</v>
      </c>
      <c r="G23" s="64"/>
      <c r="H23" s="64" t="s">
        <v>49</v>
      </c>
      <c r="I23" s="60">
        <f t="shared" si="0"/>
        <v>0.01878</v>
      </c>
      <c r="J23" s="58">
        <v>0.203569</v>
      </c>
      <c r="K23" s="59">
        <v>0.203569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0.95</v>
      </c>
      <c r="W23" s="60"/>
      <c r="X23" s="62"/>
      <c r="Y23" s="59">
        <v>0.0055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0.2458</v>
      </c>
      <c r="G24" s="64"/>
      <c r="H24" s="64"/>
      <c r="I24" s="60">
        <f t="shared" si="0"/>
        <v>0.2458</v>
      </c>
      <c r="J24" s="58">
        <v>2.5666</v>
      </c>
      <c r="K24" s="59">
        <v>2.5666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0.2458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0.039297</v>
      </c>
      <c r="F25" s="59" t="s">
        <v>56</v>
      </c>
      <c r="G25" s="64"/>
      <c r="H25" s="64"/>
      <c r="I25" s="60">
        <f t="shared" si="0"/>
        <v>0.039297</v>
      </c>
      <c r="J25" s="58">
        <v>0.40569900000000003</v>
      </c>
      <c r="K25" s="59">
        <v>0.40569900000000003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</v>
      </c>
      <c r="W25" s="59"/>
      <c r="X25" s="62"/>
      <c r="Y25" s="59">
        <v>0.0111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7.990884800000001</v>
      </c>
      <c r="J27" s="61">
        <f>SUM(J7:J26)</f>
        <v>83.1365398</v>
      </c>
      <c r="K27" s="61">
        <f>SUM(K7:K26)</f>
        <v>83.1365398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738.303</v>
      </c>
      <c r="W27" s="60"/>
      <c r="X27" s="60"/>
      <c r="Y27" s="60">
        <f>SUM(Y7:Y26)</f>
        <v>2.449424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Z16" sqref="Z16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116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0.367312</v>
      </c>
      <c r="F7" s="58" t="s">
        <v>81</v>
      </c>
      <c r="G7" s="58">
        <v>0.7090848</v>
      </c>
      <c r="H7" s="58" t="s">
        <v>51</v>
      </c>
      <c r="I7" s="60">
        <f aca="true" t="shared" si="0" ref="I7:I26">SUM(E7:H7)</f>
        <v>1.0763968</v>
      </c>
      <c r="J7" s="58">
        <v>13.145865599999999</v>
      </c>
      <c r="K7" s="58">
        <v>13.145865599999999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(W7+'01'!W7+'02'!W7+'03'!W7+'04'!W7+'05'!W7+'06'!W7+'07'!W7+'08'!W7+'09'!W7+'10'!W7)/11</f>
        <v>44.28137651821862</v>
      </c>
      <c r="Y7" s="59">
        <v>0.34488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0.15894</v>
      </c>
      <c r="F8" s="58">
        <v>0.22852</v>
      </c>
      <c r="G8" s="58">
        <v>0.03138</v>
      </c>
      <c r="H8" s="58">
        <v>0.1417</v>
      </c>
      <c r="I8" s="60">
        <f t="shared" si="0"/>
        <v>0.56054</v>
      </c>
      <c r="J8" s="58">
        <v>6.969364000000001</v>
      </c>
      <c r="K8" s="58">
        <v>6.969364000000001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54</v>
      </c>
      <c r="W8" s="62">
        <f>(10000*V8)/(120*99)</f>
        <v>45.45454545454545</v>
      </c>
      <c r="X8" s="62">
        <f>(W8+'01'!W8+'02'!W8+'03'!W8+'04'!W8+'05'!W8+'06'!W8+'07'!W8+'08'!W8+'09'!W8+'10'!W8)/11</f>
        <v>45.0719314355678</v>
      </c>
      <c r="Y8" s="59">
        <v>0.162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0.0944</v>
      </c>
      <c r="G9" s="58">
        <v>0.1198</v>
      </c>
      <c r="H9" s="64"/>
      <c r="I9" s="60">
        <f t="shared" si="0"/>
        <v>0.2142</v>
      </c>
      <c r="J9" s="59">
        <v>2.5616</v>
      </c>
      <c r="K9" s="59">
        <v>2.5616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(W9+'01'!W9+'02'!W9+'03'!W9+'04'!W9+'05'!W9+'06'!W9+'07'!W9+'08'!W9+'09'!W9+'10'!W9)/11</f>
        <v>55.20122337846407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0.1656</v>
      </c>
      <c r="G10" s="59">
        <v>0.1908</v>
      </c>
      <c r="H10" s="64"/>
      <c r="I10" s="60">
        <f t="shared" si="0"/>
        <v>0.3564</v>
      </c>
      <c r="J10" s="59">
        <v>4.22901</v>
      </c>
      <c r="K10" s="59">
        <v>4.22901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(W10+'01'!W10+'02'!W10+'03'!W10+'04'!W10+'05'!W10+'06'!W10+'07'!W10+'08'!W10+'09'!W10+'10'!W10)/11</f>
        <v>64.17471318839719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0.15072</v>
      </c>
      <c r="F11" s="59" t="s">
        <v>51</v>
      </c>
      <c r="G11" s="59">
        <v>0.0981</v>
      </c>
      <c r="H11" s="64" t="s">
        <v>49</v>
      </c>
      <c r="I11" s="60">
        <f>SUM(E11:H11)</f>
        <v>0.24881999999999999</v>
      </c>
      <c r="J11" s="59">
        <v>2.9268</v>
      </c>
      <c r="K11" s="59">
        <v>2.9268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(W11+'01'!W11+'02'!W11+'03'!W11+'04'!W11+'05'!W11+'06'!W11+'07'!W11+'08'!W11+'09'!W11+'10'!W11)/11</f>
        <v>67.13662302786169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0.129949</v>
      </c>
      <c r="F12" s="58">
        <v>0.746813</v>
      </c>
      <c r="G12" s="58" t="s">
        <v>51</v>
      </c>
      <c r="H12" s="64"/>
      <c r="I12" s="60">
        <f t="shared" si="0"/>
        <v>0.8767619999999999</v>
      </c>
      <c r="J12" s="58">
        <v>7.331747000000001</v>
      </c>
      <c r="K12" s="58">
        <v>7.331747000000001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(W12+'01'!W12+'02'!W12+'03'!W12+'04'!W12+'05'!W12+'06'!W12+'07'!W12+'08'!W12+'09'!W12+'10'!W12)/11</f>
        <v>71.51067574028299</v>
      </c>
      <c r="Y12" s="59">
        <v>0.206267</v>
      </c>
      <c r="Z12" s="63" t="s">
        <v>93</v>
      </c>
    </row>
    <row r="13" spans="1:26" s="46" customFormat="1" ht="48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0.381</v>
      </c>
      <c r="F13" s="58" t="s">
        <v>51</v>
      </c>
      <c r="G13" s="58">
        <v>0.245</v>
      </c>
      <c r="H13" s="58">
        <v>1.466</v>
      </c>
      <c r="I13" s="60">
        <f t="shared" si="0"/>
        <v>2.092</v>
      </c>
      <c r="J13" s="58">
        <v>19.686999999999998</v>
      </c>
      <c r="K13" s="58">
        <v>19.686999999999998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(W13+'01'!W13+'02'!W13+'03'!W13+'04'!W13+'05'!W13+'06'!W13+'07'!W13+'08'!W13+'09'!W13+'10'!W13)/11</f>
        <v>69.95795273307235</v>
      </c>
      <c r="Y13" s="59">
        <v>0.688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0.66</v>
      </c>
      <c r="F14" s="58">
        <v>0.656</v>
      </c>
      <c r="G14" s="58" t="s">
        <v>51</v>
      </c>
      <c r="H14" s="58">
        <v>0.576</v>
      </c>
      <c r="I14" s="60">
        <f t="shared" si="0"/>
        <v>1.892</v>
      </c>
      <c r="J14" s="58">
        <v>21.592</v>
      </c>
      <c r="K14" s="58">
        <v>21.592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92</v>
      </c>
      <c r="W14" s="62">
        <f>(10000*V14)/(144*99)</f>
        <v>64.53423120089786</v>
      </c>
      <c r="X14" s="62">
        <f>(W14+'01'!W14+'02'!W14+'03'!W14+'04'!W14+'05'!W14+'06'!W14+'07'!W14+'08'!W14+'09'!W14+'10'!W14)/11</f>
        <v>65.49076624834201</v>
      </c>
      <c r="Y14" s="59">
        <v>0.419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 t="s">
        <v>56</v>
      </c>
      <c r="G15" s="59" t="s">
        <v>56</v>
      </c>
      <c r="H15" s="64"/>
      <c r="I15" s="60">
        <f t="shared" si="0"/>
        <v>0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(W15+'01'!W15+'02'!W15+'03'!W15+'04'!W15+'05'!W15+'06'!W15+'07'!W15+'08'!W15+'09'!W15+'10'!W15)/11</f>
        <v>1.6183070289085122</v>
      </c>
      <c r="Y15" s="59">
        <v>0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0.261</v>
      </c>
      <c r="F16" s="59" t="s">
        <v>56</v>
      </c>
      <c r="G16" s="59">
        <v>0.09</v>
      </c>
      <c r="H16" s="64"/>
      <c r="I16" s="60">
        <f t="shared" si="0"/>
        <v>0.351</v>
      </c>
      <c r="J16" s="58">
        <v>4.111</v>
      </c>
      <c r="K16" s="59">
        <v>4.111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>
        <f>(W16+'01'!W16+'02'!W16+'03'!W16+'04'!W16+'05'!W16+'06'!W16+'07'!W16+'08'!W16+'09'!W16+'10'!W16)/11</f>
        <v>69.64684171535293</v>
      </c>
      <c r="Y16" s="59">
        <v>0.082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0.12543</v>
      </c>
      <c r="F17" s="59">
        <v>0.127902</v>
      </c>
      <c r="G17" s="59">
        <v>0.12501</v>
      </c>
      <c r="H17" s="64"/>
      <c r="I17" s="60">
        <f t="shared" si="0"/>
        <v>0.378342</v>
      </c>
      <c r="J17" s="58">
        <v>3.1552879999999996</v>
      </c>
      <c r="K17" s="59">
        <v>3.1552879999999996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16.6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0.05737</v>
      </c>
      <c r="F18" s="58">
        <v>0.04885</v>
      </c>
      <c r="G18" s="58">
        <v>0.05836</v>
      </c>
      <c r="H18" s="64"/>
      <c r="I18" s="60">
        <f t="shared" si="0"/>
        <v>0.16458</v>
      </c>
      <c r="J18" s="58">
        <v>1.3922679999999998</v>
      </c>
      <c r="K18" s="59">
        <v>1.3922679999999998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7.4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0.01632</v>
      </c>
      <c r="I19" s="60">
        <f t="shared" si="0"/>
        <v>0.01632</v>
      </c>
      <c r="J19" s="58">
        <v>0.17465</v>
      </c>
      <c r="K19" s="59">
        <v>0.17465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82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0.00366</v>
      </c>
      <c r="F20" s="58">
        <v>0.00298</v>
      </c>
      <c r="G20" s="64"/>
      <c r="H20" s="64"/>
      <c r="I20" s="60">
        <f t="shared" si="0"/>
        <v>0.00664</v>
      </c>
      <c r="J20" s="58">
        <v>0.057080000000000006</v>
      </c>
      <c r="K20" s="59">
        <v>0.057080000000000006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0.28</v>
      </c>
      <c r="W20" s="60"/>
      <c r="X20" s="62"/>
      <c r="Y20" s="59">
        <v>0.00168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</v>
      </c>
      <c r="F21" s="59">
        <v>0.012</v>
      </c>
      <c r="G21" s="64"/>
      <c r="H21" s="64"/>
      <c r="I21" s="60">
        <f t="shared" si="0"/>
        <v>0.022</v>
      </c>
      <c r="J21" s="58">
        <v>0.37200000000000005</v>
      </c>
      <c r="K21" s="59">
        <v>0.37200000000000005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1.76</v>
      </c>
      <c r="W21" s="60"/>
      <c r="X21" s="62"/>
      <c r="Y21" s="59">
        <v>0.00908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0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0.02092</v>
      </c>
      <c r="F23" s="59" t="s">
        <v>56</v>
      </c>
      <c r="G23" s="64"/>
      <c r="H23" s="64" t="s">
        <v>49</v>
      </c>
      <c r="I23" s="60">
        <f t="shared" si="0"/>
        <v>0.02092</v>
      </c>
      <c r="J23" s="58">
        <v>0.224489</v>
      </c>
      <c r="K23" s="59">
        <v>0.224489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0.95</v>
      </c>
      <c r="W23" s="60"/>
      <c r="X23" s="62"/>
      <c r="Y23" s="59">
        <v>0.0055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0.1838</v>
      </c>
      <c r="G24" s="64"/>
      <c r="H24" s="64"/>
      <c r="I24" s="60">
        <f t="shared" si="0"/>
        <v>0.1838</v>
      </c>
      <c r="J24" s="58">
        <v>2.7504000000000004</v>
      </c>
      <c r="K24" s="59">
        <v>2.7504000000000004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0.1838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0.042952</v>
      </c>
      <c r="F25" s="59" t="s">
        <v>56</v>
      </c>
      <c r="G25" s="64"/>
      <c r="H25" s="64"/>
      <c r="I25" s="60">
        <f t="shared" si="0"/>
        <v>0.042952</v>
      </c>
      <c r="J25" s="58">
        <v>0.448651</v>
      </c>
      <c r="K25" s="59">
        <v>0.448651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</v>
      </c>
      <c r="W25" s="59"/>
      <c r="X25" s="62"/>
      <c r="Y25" s="59">
        <v>0.0111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8.503672800000002</v>
      </c>
      <c r="J27" s="61">
        <f>SUM(J7:J26)</f>
        <v>91.6402126</v>
      </c>
      <c r="K27" s="61">
        <f>SUM(K7:K26)</f>
        <v>91.6402126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737.69</v>
      </c>
      <c r="W27" s="60"/>
      <c r="X27" s="60"/>
      <c r="Y27" s="60">
        <f>SUM(Y7:Y26)</f>
        <v>2.4144069999999997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Q13" sqref="Q13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118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0.3249</v>
      </c>
      <c r="F7" s="58" t="s">
        <v>81</v>
      </c>
      <c r="G7" s="58">
        <v>0.7014</v>
      </c>
      <c r="H7" s="58" t="s">
        <v>51</v>
      </c>
      <c r="I7" s="60">
        <f aca="true" t="shared" si="0" ref="I7:I26">SUM(E7:H7)</f>
        <v>1.0263</v>
      </c>
      <c r="J7" s="58">
        <v>14.1721656</v>
      </c>
      <c r="K7" s="58">
        <v>14.1721656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(W7+'01'!W7+'02'!W7+'03'!W7+'04'!W7+'05'!W7+'06'!W7+'07'!W7+'08'!W7+'09'!W7+'10'!W7+'11'!W7)/12</f>
        <v>44.28137651821862</v>
      </c>
      <c r="Y7" s="59">
        <v>0.33088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0.19516</v>
      </c>
      <c r="F8" s="58">
        <v>0.00772</v>
      </c>
      <c r="G8" s="58">
        <v>0.1139</v>
      </c>
      <c r="H8" s="58">
        <v>0.20284</v>
      </c>
      <c r="I8" s="60">
        <f t="shared" si="0"/>
        <v>0.51962</v>
      </c>
      <c r="J8" s="58">
        <v>7.488984</v>
      </c>
      <c r="K8" s="58">
        <v>7.488984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54</v>
      </c>
      <c r="W8" s="62">
        <f>(10000*V8)/(120*99)</f>
        <v>45.45454545454545</v>
      </c>
      <c r="X8" s="62">
        <f>(W8+'01'!W8+'02'!W8+'03'!W8+'04'!W8+'05'!W8+'06'!W8+'07'!W8+'08'!W8+'09'!W8+'10'!W8+'11'!W8)/12</f>
        <v>45.10381593714927</v>
      </c>
      <c r="Y8" s="59">
        <v>0.162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0.081</v>
      </c>
      <c r="G9" s="58">
        <v>0.119</v>
      </c>
      <c r="H9" s="64"/>
      <c r="I9" s="60">
        <f t="shared" si="0"/>
        <v>0.2</v>
      </c>
      <c r="J9" s="59">
        <v>2.7616</v>
      </c>
      <c r="K9" s="59">
        <v>2.7616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(W9+'01'!W9+'02'!W9+'03'!W9+'04'!W9+'05'!W9+'06'!W9+'07'!W9+'08'!W9+'09'!W9+'10'!W9+'11'!W9)/12</f>
        <v>55.20122337846407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0.14544</v>
      </c>
      <c r="G10" s="59">
        <v>0.17664</v>
      </c>
      <c r="H10" s="64"/>
      <c r="I10" s="60">
        <f t="shared" si="0"/>
        <v>0.32208000000000003</v>
      </c>
      <c r="J10" s="59">
        <v>4.551089999999999</v>
      </c>
      <c r="K10" s="59">
        <v>4.551089999999999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(W10+'01'!W10+'02'!W10+'03'!W10+'04'!W10+'05'!W10+'06'!W10+'07'!W10+'08'!W10+'09'!W10+'10'!W10+'11'!W10)/12</f>
        <v>64.17471318839719</v>
      </c>
      <c r="Y10" s="59">
        <v>0.102</v>
      </c>
      <c r="Z10" s="63" t="s">
        <v>89</v>
      </c>
    </row>
    <row r="11" spans="1:26" s="47" customFormat="1" ht="60.75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0.12042</v>
      </c>
      <c r="F11" s="59" t="s">
        <v>51</v>
      </c>
      <c r="G11" s="59">
        <v>0.10812</v>
      </c>
      <c r="H11" s="64" t="s">
        <v>49</v>
      </c>
      <c r="I11" s="60">
        <f>SUM(E11:H11)</f>
        <v>0.22854</v>
      </c>
      <c r="J11" s="59">
        <v>3.1553400000000003</v>
      </c>
      <c r="K11" s="59">
        <v>3.1553400000000003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(W11+'01'!W11+'02'!W11+'03'!W11+'04'!W11+'05'!W11+'06'!W11+'07'!W11+'08'!W11+'09'!W11+'10'!W11+'11'!W11)/12</f>
        <v>67.13662302786169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0.60246</v>
      </c>
      <c r="F12" s="58">
        <v>0.103516</v>
      </c>
      <c r="G12" s="58" t="s">
        <v>51</v>
      </c>
      <c r="H12" s="64"/>
      <c r="I12" s="60">
        <f t="shared" si="0"/>
        <v>0.7059759999999999</v>
      </c>
      <c r="J12" s="58">
        <v>8.037723000000002</v>
      </c>
      <c r="K12" s="58">
        <v>8.037723000000002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(W12+'01'!W12+'02'!W12+'03'!W12+'04'!W12+'05'!W12+'06'!W12+'07'!W12+'08'!W12+'09'!W12+'10'!W12+'11'!W12)/12</f>
        <v>71.89213382566857</v>
      </c>
      <c r="Y12" s="59">
        <v>0.206244</v>
      </c>
      <c r="Z12" s="63" t="s">
        <v>93</v>
      </c>
    </row>
    <row r="13" spans="1:26" s="46" customFormat="1" ht="66.7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0.255</v>
      </c>
      <c r="F13" s="58" t="s">
        <v>51</v>
      </c>
      <c r="G13" s="58">
        <v>0.334</v>
      </c>
      <c r="H13" s="58">
        <v>1.194</v>
      </c>
      <c r="I13" s="60">
        <f t="shared" si="0"/>
        <v>1.783</v>
      </c>
      <c r="J13" s="58">
        <v>21.47</v>
      </c>
      <c r="K13" s="58">
        <v>21.47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(W13+'01'!W13+'02'!W13+'03'!W13+'04'!W13+'05'!W13+'06'!W13+'07'!W13+'08'!W13+'09'!W13+'10'!W13+'11'!W13)/12</f>
        <v>70.46894382420697</v>
      </c>
      <c r="Y13" s="59">
        <v>0.689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0.635</v>
      </c>
      <c r="F14" s="58">
        <v>0.597</v>
      </c>
      <c r="G14" s="58" t="s">
        <v>51</v>
      </c>
      <c r="H14" s="58">
        <v>0.589</v>
      </c>
      <c r="I14" s="60">
        <f t="shared" si="0"/>
        <v>1.821</v>
      </c>
      <c r="J14" s="58">
        <v>23.413</v>
      </c>
      <c r="K14" s="58">
        <v>23.413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86</v>
      </c>
      <c r="W14" s="62">
        <f>(10000*V14)/(144*99)</f>
        <v>60.325476992143656</v>
      </c>
      <c r="X14" s="62">
        <f>(W14+'01'!W14+'02'!W14+'03'!W14+'04'!W14+'05'!W14+'06'!W14+'07'!W14+'08'!W14+'09'!W14+'10'!W14+'11'!W14)/12</f>
        <v>65.06032547699216</v>
      </c>
      <c r="Y14" s="59">
        <v>0.421</v>
      </c>
      <c r="Z14" s="63" t="s">
        <v>84</v>
      </c>
    </row>
    <row r="15" spans="1:26" s="46" customFormat="1" ht="61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 t="s">
        <v>56</v>
      </c>
      <c r="G15" s="59" t="s">
        <v>56</v>
      </c>
      <c r="H15" s="64"/>
      <c r="I15" s="60">
        <f t="shared" si="0"/>
        <v>0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(W15+'01'!W15+'02'!W15+'03'!W15+'04'!W15+'05'!W15+'06'!W15+'07'!W15+'08'!W15+'09'!W15+'10'!W15+'11'!W15)/12</f>
        <v>1.4834481098328027</v>
      </c>
      <c r="Y15" s="59">
        <v>0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0.277</v>
      </c>
      <c r="F16" s="59" t="s">
        <v>56</v>
      </c>
      <c r="G16" s="59">
        <v>0.093</v>
      </c>
      <c r="H16" s="64"/>
      <c r="I16" s="60">
        <f t="shared" si="0"/>
        <v>0.37</v>
      </c>
      <c r="J16" s="58">
        <v>4.481</v>
      </c>
      <c r="K16" s="59">
        <v>4.481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30</v>
      </c>
      <c r="W16" s="62">
        <f>(10000*V16)/(41.4*99)</f>
        <v>73.19572536963842</v>
      </c>
      <c r="X16" s="62">
        <f>(W16+'01'!W16+'02'!W16+'03'!W16+'04'!W16+'05'!W16+'06'!W16+'07'!W16+'08'!W16+'09'!W16+'10'!W16+'11'!W16)/12</f>
        <v>69.94258201987672</v>
      </c>
      <c r="Y16" s="59">
        <v>0.116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0.12306</v>
      </c>
      <c r="F17" s="59">
        <v>0.121871</v>
      </c>
      <c r="G17" s="59">
        <v>0.11976</v>
      </c>
      <c r="H17" s="64"/>
      <c r="I17" s="60">
        <f t="shared" si="0"/>
        <v>0.364691</v>
      </c>
      <c r="J17" s="58">
        <v>3.5199789999999997</v>
      </c>
      <c r="K17" s="59">
        <v>3.5199789999999997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16.6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0.057698</v>
      </c>
      <c r="F18" s="58">
        <v>0.047918</v>
      </c>
      <c r="G18" s="58">
        <v>0.058248</v>
      </c>
      <c r="H18" s="64"/>
      <c r="I18" s="60">
        <f t="shared" si="0"/>
        <v>0.163864</v>
      </c>
      <c r="J18" s="58">
        <v>1.5561319999999998</v>
      </c>
      <c r="K18" s="59">
        <v>1.5561319999999998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7.3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0.0162</v>
      </c>
      <c r="I19" s="60">
        <f t="shared" si="0"/>
        <v>0.0162</v>
      </c>
      <c r="J19" s="58">
        <v>0.19085</v>
      </c>
      <c r="K19" s="59">
        <v>0.19085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82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0.00428</v>
      </c>
      <c r="F20" s="58">
        <v>0.00208</v>
      </c>
      <c r="G20" s="64"/>
      <c r="H20" s="64"/>
      <c r="I20" s="60">
        <f t="shared" si="0"/>
        <v>0.006359999999999999</v>
      </c>
      <c r="J20" s="58">
        <v>0.06344000000000001</v>
      </c>
      <c r="K20" s="59">
        <v>0.06344000000000001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0.28</v>
      </c>
      <c r="W20" s="60"/>
      <c r="X20" s="62"/>
      <c r="Y20" s="59">
        <v>0.001701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0.008</v>
      </c>
      <c r="F21" s="59">
        <v>0.012</v>
      </c>
      <c r="G21" s="64"/>
      <c r="H21" s="64"/>
      <c r="I21" s="60">
        <f t="shared" si="0"/>
        <v>0.02</v>
      </c>
      <c r="J21" s="58">
        <v>0.39200000000000007</v>
      </c>
      <c r="K21" s="59">
        <v>0.39200000000000007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1.76</v>
      </c>
      <c r="W21" s="60"/>
      <c r="X21" s="62"/>
      <c r="Y21" s="59">
        <v>0.00908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0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0.018845</v>
      </c>
      <c r="F23" s="59" t="s">
        <v>56</v>
      </c>
      <c r="G23" s="64"/>
      <c r="H23" s="64" t="s">
        <v>49</v>
      </c>
      <c r="I23" s="60">
        <f t="shared" si="0"/>
        <v>0.018845</v>
      </c>
      <c r="J23" s="58">
        <v>0.243334</v>
      </c>
      <c r="K23" s="59">
        <v>0.243334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0.95</v>
      </c>
      <c r="W23" s="60"/>
      <c r="X23" s="62"/>
      <c r="Y23" s="59">
        <v>0.0055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0.1849</v>
      </c>
      <c r="G24" s="64"/>
      <c r="H24" s="64"/>
      <c r="I24" s="60">
        <f t="shared" si="0"/>
        <v>0.1849</v>
      </c>
      <c r="J24" s="58">
        <v>2.9353000000000002</v>
      </c>
      <c r="K24" s="59">
        <v>2.9353000000000002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0.1849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0.037753</v>
      </c>
      <c r="F25" s="59" t="s">
        <v>56</v>
      </c>
      <c r="G25" s="64"/>
      <c r="H25" s="64"/>
      <c r="I25" s="60">
        <f t="shared" si="0"/>
        <v>0.037753</v>
      </c>
      <c r="J25" s="58">
        <v>0.486404</v>
      </c>
      <c r="K25" s="59">
        <v>0.486404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</v>
      </c>
      <c r="W25" s="59"/>
      <c r="X25" s="62"/>
      <c r="Y25" s="59">
        <v>0.0111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7.789128999999999</v>
      </c>
      <c r="J27" s="61">
        <f>SUM(J7:J26)</f>
        <v>99.42934159999999</v>
      </c>
      <c r="K27" s="61">
        <f>SUM(K7:K26)</f>
        <v>99.42934159999999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732.59</v>
      </c>
      <c r="W27" s="60"/>
      <c r="X27" s="60"/>
      <c r="Y27" s="60">
        <f>SUM(Y7:Y26)</f>
        <v>2.438505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P15" sqref="P15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120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0.340896</v>
      </c>
      <c r="F7" s="58" t="s">
        <v>81</v>
      </c>
      <c r="G7" s="58">
        <v>0.8385776</v>
      </c>
      <c r="H7" s="58" t="s">
        <v>51</v>
      </c>
      <c r="I7" s="60">
        <f aca="true" t="shared" si="0" ref="I7:I26">SUM(E7:H7)</f>
        <v>1.1794736000000001</v>
      </c>
      <c r="J7" s="58">
        <v>15.3516392</v>
      </c>
      <c r="K7" s="58">
        <v>15.3516392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(W7+'01'!W7+'02'!W7+'03'!W7+'04'!W7+'05'!W7+'06'!W7+'07'!W7+'08'!W7+'09'!W7+'10'!W7+'11'!W7+'12'!W7)/13</f>
        <v>44.28137651821862</v>
      </c>
      <c r="Y7" s="59">
        <v>0.3414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0.1503</v>
      </c>
      <c r="F8" s="58">
        <v>0.22798</v>
      </c>
      <c r="G8" s="58">
        <v>0.20258</v>
      </c>
      <c r="H8" s="58">
        <v>0.0311</v>
      </c>
      <c r="I8" s="60">
        <f t="shared" si="0"/>
        <v>0.61196</v>
      </c>
      <c r="J8" s="58">
        <v>8.100944</v>
      </c>
      <c r="K8" s="58">
        <v>8.100944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54</v>
      </c>
      <c r="W8" s="62">
        <f>(10000*V8)/(120*99)</f>
        <v>45.45454545454545</v>
      </c>
      <c r="X8" s="62">
        <f>(W8+'01'!W8+'02'!W8+'03'!W8+'04'!W8+'05'!W8+'06'!W8+'07'!W8+'08'!W8+'09'!W8+'10'!W8+'11'!W8+'12'!W8)/13</f>
        <v>45.130795130795136</v>
      </c>
      <c r="Y8" s="59">
        <v>0.162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0.085</v>
      </c>
      <c r="G9" s="58">
        <v>0.129</v>
      </c>
      <c r="H9" s="64"/>
      <c r="I9" s="60">
        <f t="shared" si="0"/>
        <v>0.21400000000000002</v>
      </c>
      <c r="J9" s="59">
        <v>2.9756</v>
      </c>
      <c r="K9" s="59">
        <v>2.9756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(W9+'01'!W9+'02'!W9+'03'!W9+'04'!W9+'05'!W9+'06'!W9+'07'!W9+'08'!W9+'09'!W9+'10'!W9+'11'!W9+'12'!W9)/13</f>
        <v>55.20122337846407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0.13656</v>
      </c>
      <c r="G10" s="59">
        <v>0.20952</v>
      </c>
      <c r="H10" s="64"/>
      <c r="I10" s="60">
        <f t="shared" si="0"/>
        <v>0.34608</v>
      </c>
      <c r="J10" s="59">
        <v>4.897169999999999</v>
      </c>
      <c r="K10" s="59">
        <v>4.897169999999999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(W10+'01'!W10+'02'!W10+'03'!W10+'04'!W10+'05'!W10+'06'!W10+'07'!W10+'08'!W10+'09'!W10+'10'!W10+'11'!W10+'12'!W10)/13</f>
        <v>64.17471318839719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0.09486</v>
      </c>
      <c r="F11" s="59" t="s">
        <v>51</v>
      </c>
      <c r="G11" s="59">
        <v>0.15834</v>
      </c>
      <c r="H11" s="64" t="s">
        <v>49</v>
      </c>
      <c r="I11" s="60">
        <f>SUM(E11:H11)</f>
        <v>0.2532</v>
      </c>
      <c r="J11" s="59">
        <v>3.4085400000000003</v>
      </c>
      <c r="K11" s="59">
        <v>3.4085400000000003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(W11+'01'!W11+'02'!W11+'03'!W11+'04'!W11+'05'!W11+'06'!W11+'07'!W11+'08'!W11+'09'!W11+'10'!W11+'11'!W11+'12'!W11)/13</f>
        <v>67.13662302786169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0.568906</v>
      </c>
      <c r="F12" s="58">
        <v>0.328268</v>
      </c>
      <c r="G12" s="58" t="s">
        <v>51</v>
      </c>
      <c r="H12" s="64"/>
      <c r="I12" s="60">
        <f t="shared" si="0"/>
        <v>0.897174</v>
      </c>
      <c r="J12" s="58">
        <v>8.934897000000001</v>
      </c>
      <c r="K12" s="58">
        <v>8.934897000000001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(W12+'01'!W12+'02'!W12+'03'!W12+'04'!W12+'05'!W12+'06'!W12+'07'!W12+'08'!W12+'09'!W12+'10'!W12+'11'!W12+'12'!W12)/13</f>
        <v>72.21490605176406</v>
      </c>
      <c r="Y12" s="59">
        <v>0.20625</v>
      </c>
      <c r="Z12" s="63" t="s">
        <v>93</v>
      </c>
    </row>
    <row r="13" spans="1:26" s="46" customFormat="1" ht="64.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1.061</v>
      </c>
      <c r="F13" s="58" t="s">
        <v>51</v>
      </c>
      <c r="G13" s="58">
        <v>0.298</v>
      </c>
      <c r="H13" s="58">
        <v>0.468</v>
      </c>
      <c r="I13" s="60">
        <f t="shared" si="0"/>
        <v>1.827</v>
      </c>
      <c r="J13" s="58">
        <v>23.296999999999997</v>
      </c>
      <c r="K13" s="58">
        <v>23.296999999999997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(W13+'01'!W13+'02'!W13+'03'!W13+'04'!W13+'05'!W13+'06'!W13+'07'!W13+'08'!W13+'09'!W13+'10'!W13+'11'!W13+'12'!W13)/13</f>
        <v>70.90132090132089</v>
      </c>
      <c r="Y13" s="59">
        <v>0.688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0.632</v>
      </c>
      <c r="F14" s="58">
        <v>0.641</v>
      </c>
      <c r="G14" s="58" t="s">
        <v>51</v>
      </c>
      <c r="H14" s="58">
        <v>0.591</v>
      </c>
      <c r="I14" s="60">
        <f t="shared" si="0"/>
        <v>1.864</v>
      </c>
      <c r="J14" s="58">
        <v>25.277</v>
      </c>
      <c r="K14" s="58">
        <v>25.277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90</v>
      </c>
      <c r="W14" s="62">
        <f>(10000*V14)/(144*99)</f>
        <v>63.13131313131313</v>
      </c>
      <c r="X14" s="62">
        <f>(W14+'01'!W14+'02'!W14+'03'!W14+'04'!W14+'05'!W14+'06'!W14+'07'!W14+'08'!W14+'09'!W14+'10'!W14+'11'!W14+'12'!W14)/13</f>
        <v>64.91193991193992</v>
      </c>
      <c r="Y14" s="59">
        <v>0.377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 t="s">
        <v>56</v>
      </c>
      <c r="G15" s="59" t="s">
        <v>56</v>
      </c>
      <c r="H15" s="64"/>
      <c r="I15" s="60">
        <f t="shared" si="0"/>
        <v>0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(W15+'01'!W15+'02'!W15+'03'!W15+'04'!W15+'05'!W15+'06'!W15+'07'!W15+'08'!W15+'09'!W15+'10'!W15+'11'!W15+'12'!W15)/13</f>
        <v>1.3693367167687411</v>
      </c>
      <c r="Y15" s="59">
        <v>0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0.276</v>
      </c>
      <c r="F16" s="59" t="s">
        <v>56</v>
      </c>
      <c r="G16" s="59">
        <v>0.061</v>
      </c>
      <c r="H16" s="64"/>
      <c r="I16" s="60">
        <f t="shared" si="0"/>
        <v>0.337</v>
      </c>
      <c r="J16" s="58">
        <v>4.818</v>
      </c>
      <c r="K16" s="59">
        <v>4.818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>
        <f>(W16+'01'!W16+'02'!W16+'03'!W16+'04'!W16+'05'!W16+'06'!W16+'07'!W16+'08'!W16+'09'!W16+'10'!W16+'11'!W16+'12'!W16)/13</f>
        <v>70.0051424689106</v>
      </c>
      <c r="Y16" s="59">
        <v>0.066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0.11399</v>
      </c>
      <c r="F17" s="59">
        <v>0.120241</v>
      </c>
      <c r="G17" s="59">
        <v>0.11565</v>
      </c>
      <c r="H17" s="64"/>
      <c r="I17" s="60">
        <f t="shared" si="0"/>
        <v>0.349881</v>
      </c>
      <c r="J17" s="58">
        <v>3.8698599999999996</v>
      </c>
      <c r="K17" s="59">
        <v>3.8698599999999996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15.4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0.051634</v>
      </c>
      <c r="F18" s="58">
        <v>0.044796</v>
      </c>
      <c r="G18" s="58">
        <v>0.055766</v>
      </c>
      <c r="H18" s="64"/>
      <c r="I18" s="60">
        <f t="shared" si="0"/>
        <v>0.152196</v>
      </c>
      <c r="J18" s="58">
        <v>1.7083279999999998</v>
      </c>
      <c r="K18" s="59">
        <v>1.7083279999999998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7.5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0.00744</v>
      </c>
      <c r="I19" s="60">
        <f t="shared" si="0"/>
        <v>0.00744</v>
      </c>
      <c r="J19" s="58">
        <v>0.19829</v>
      </c>
      <c r="K19" s="59">
        <v>0.19829</v>
      </c>
      <c r="L19" s="60"/>
      <c r="M19" s="60"/>
      <c r="N19" s="60"/>
      <c r="O19" s="58"/>
      <c r="P19" s="58"/>
      <c r="Q19" s="59"/>
      <c r="R19" s="59"/>
      <c r="S19" s="59">
        <v>0.0089</v>
      </c>
      <c r="T19" s="59"/>
      <c r="U19" s="60">
        <f t="shared" si="1"/>
        <v>0.0089</v>
      </c>
      <c r="V19" s="77">
        <v>0.7</v>
      </c>
      <c r="W19" s="60"/>
      <c r="X19" s="62"/>
      <c r="Y19" s="59">
        <v>0.0021</v>
      </c>
      <c r="Z19" s="63" t="s">
        <v>121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0.00483</v>
      </c>
      <c r="F20" s="58" t="s">
        <v>56</v>
      </c>
      <c r="G20" s="64"/>
      <c r="H20" s="64"/>
      <c r="I20" s="60">
        <f t="shared" si="0"/>
        <v>0.00483</v>
      </c>
      <c r="J20" s="58">
        <v>0.06827000000000001</v>
      </c>
      <c r="K20" s="59">
        <v>0.06827000000000001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0.28</v>
      </c>
      <c r="W20" s="60"/>
      <c r="X20" s="62"/>
      <c r="Y20" s="59">
        <v>0.001151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0.005</v>
      </c>
      <c r="F21" s="59">
        <v>0.01</v>
      </c>
      <c r="G21" s="64"/>
      <c r="H21" s="64"/>
      <c r="I21" s="60">
        <f t="shared" si="0"/>
        <v>0.015</v>
      </c>
      <c r="J21" s="58">
        <v>0.4070000000000001</v>
      </c>
      <c r="K21" s="59">
        <v>0.4070000000000001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1.72</v>
      </c>
      <c r="W21" s="60"/>
      <c r="X21" s="62"/>
      <c r="Y21" s="59">
        <v>0.00834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0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0.019465</v>
      </c>
      <c r="F23" s="59" t="s">
        <v>56</v>
      </c>
      <c r="G23" s="64"/>
      <c r="H23" s="64" t="s">
        <v>49</v>
      </c>
      <c r="I23" s="60">
        <f t="shared" si="0"/>
        <v>0.019465</v>
      </c>
      <c r="J23" s="58">
        <v>0.262799</v>
      </c>
      <c r="K23" s="59">
        <v>0.262799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0.95</v>
      </c>
      <c r="W23" s="60"/>
      <c r="X23" s="62"/>
      <c r="Y23" s="59">
        <v>0.0055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0.1841</v>
      </c>
      <c r="G24" s="64"/>
      <c r="H24" s="64"/>
      <c r="I24" s="60">
        <f t="shared" si="0"/>
        <v>0.1841</v>
      </c>
      <c r="J24" s="58">
        <v>3.1194</v>
      </c>
      <c r="K24" s="59">
        <v>3.1194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0.1841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0.039963</v>
      </c>
      <c r="F25" s="59" t="s">
        <v>56</v>
      </c>
      <c r="G25" s="64"/>
      <c r="H25" s="64"/>
      <c r="I25" s="60">
        <f t="shared" si="0"/>
        <v>0.039963</v>
      </c>
      <c r="J25" s="58">
        <v>0.526367</v>
      </c>
      <c r="K25" s="59">
        <v>0.526367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</v>
      </c>
      <c r="W25" s="59"/>
      <c r="X25" s="62"/>
      <c r="Y25" s="59">
        <v>0.039963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8.302762600000001</v>
      </c>
      <c r="J27" s="61">
        <f>SUM(J7:J26)</f>
        <v>107.73210419999997</v>
      </c>
      <c r="K27" s="61">
        <f>SUM(K7:K26)</f>
        <v>107.73210419999997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0.0089</v>
      </c>
      <c r="T27" s="61">
        <f t="shared" si="2"/>
        <v>0</v>
      </c>
      <c r="U27" s="61">
        <f t="shared" si="2"/>
        <v>0.0089</v>
      </c>
      <c r="V27" s="78">
        <f t="shared" si="2"/>
        <v>734.5500000000001</v>
      </c>
      <c r="W27" s="60"/>
      <c r="X27" s="60"/>
      <c r="Y27" s="60">
        <f>SUM(Y7:Y26)</f>
        <v>2.3808040000000004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Z17" sqref="Z17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122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123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0.412928</v>
      </c>
      <c r="F7" s="58" t="s">
        <v>81</v>
      </c>
      <c r="G7" s="58">
        <v>0.7329424</v>
      </c>
      <c r="H7" s="58" t="s">
        <v>51</v>
      </c>
      <c r="I7" s="60">
        <f aca="true" t="shared" si="0" ref="I7:I26">SUM(E7:H7)</f>
        <v>1.1458704</v>
      </c>
      <c r="J7" s="58">
        <v>16.4975096</v>
      </c>
      <c r="K7" s="58">
        <v>16.4975096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(W7+'01'!W7+'02'!W7+'03'!W7+'04'!W7+'05'!W7+'06'!W7+'07'!W7+'08'!W7+'09'!W7+'10'!W7+'11'!W7+'12'!W7+'13'!W7)/14</f>
        <v>44.28137651821862</v>
      </c>
      <c r="Y7" s="59">
        <v>0.3414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0.02646</v>
      </c>
      <c r="F8" s="58">
        <v>0.4288</v>
      </c>
      <c r="G8" s="58">
        <v>0.14562</v>
      </c>
      <c r="H8" s="58" t="s">
        <v>56</v>
      </c>
      <c r="I8" s="60">
        <f t="shared" si="0"/>
        <v>0.60088</v>
      </c>
      <c r="J8" s="58">
        <v>8.701824</v>
      </c>
      <c r="K8" s="58">
        <v>8.701824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54</v>
      </c>
      <c r="W8" s="62">
        <f>(10000*V8)/(120*99)</f>
        <v>45.45454545454545</v>
      </c>
      <c r="X8" s="62">
        <f>(W8+'01'!W8+'02'!W8+'03'!W8+'04'!W8+'05'!W8+'06'!W8+'07'!W8+'08'!W8+'09'!W8+'10'!W8+'11'!W8+'12'!W8+'13'!W8)/14</f>
        <v>45.15392015392016</v>
      </c>
      <c r="Y8" s="59">
        <v>0.176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0.093</v>
      </c>
      <c r="G9" s="58">
        <v>0.119</v>
      </c>
      <c r="H9" s="64"/>
      <c r="I9" s="60">
        <f t="shared" si="0"/>
        <v>0.212</v>
      </c>
      <c r="J9" s="59">
        <v>3.1876</v>
      </c>
      <c r="K9" s="59">
        <v>3.1876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(W9+'01'!W9+'02'!W9+'03'!W9+'04'!W9+'05'!W9+'06'!W9+'07'!W9+'08'!W9+'09'!W9+'10'!W9+'11'!W9+'12'!W9+'13'!W9)/14</f>
        <v>55.20122337846407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0.15312</v>
      </c>
      <c r="G10" s="59">
        <v>0.20064</v>
      </c>
      <c r="H10" s="64"/>
      <c r="I10" s="60">
        <f t="shared" si="0"/>
        <v>0.35376</v>
      </c>
      <c r="J10" s="59">
        <v>5.250929999999999</v>
      </c>
      <c r="K10" s="59">
        <v>5.250929999999999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(W10+'01'!W10+'02'!W10+'03'!W10+'04'!W10+'05'!W10+'06'!W10+'07'!W10+'08'!W10+'09'!W10+'10'!W10+'11'!W10+'12'!W10+'13'!W10)/14</f>
        <v>64.17471318839719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0.09282</v>
      </c>
      <c r="F11" s="59" t="s">
        <v>51</v>
      </c>
      <c r="G11" s="59">
        <v>0.15036</v>
      </c>
      <c r="H11" s="64" t="s">
        <v>49</v>
      </c>
      <c r="I11" s="60">
        <f>SUM(E11:H11)</f>
        <v>0.24318</v>
      </c>
      <c r="J11" s="59">
        <v>3.6517200000000005</v>
      </c>
      <c r="K11" s="59">
        <v>3.6517200000000005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(W11+'01'!W11+'02'!W11+'03'!W11+'04'!W11+'05'!W11+'06'!W11+'07'!W11+'08'!W11+'09'!W11+'10'!W11+'11'!W11+'12'!W11+'13'!W11)/14</f>
        <v>67.13662302786169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0.615608</v>
      </c>
      <c r="F12" s="58">
        <v>0.332796</v>
      </c>
      <c r="G12" s="58" t="s">
        <v>51</v>
      </c>
      <c r="H12" s="64"/>
      <c r="I12" s="60">
        <f t="shared" si="0"/>
        <v>0.948404</v>
      </c>
      <c r="J12" s="58">
        <v>9.883301000000001</v>
      </c>
      <c r="K12" s="58">
        <v>9.883301000000001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(W12+'01'!W12+'02'!W12+'03'!W12+'04'!W12+'05'!W12+'06'!W12+'07'!W12+'08'!W12+'09'!W12+'10'!W12+'11'!W12+'12'!W12+'13'!W12)/14</f>
        <v>72.49156795984591</v>
      </c>
      <c r="Y12" s="59">
        <v>0.206215</v>
      </c>
      <c r="Z12" s="63" t="s">
        <v>93</v>
      </c>
    </row>
    <row r="13" spans="1:26" s="46" customFormat="1" ht="64.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0.605</v>
      </c>
      <c r="F13" s="58" t="s">
        <v>51</v>
      </c>
      <c r="G13" s="58">
        <v>0.265</v>
      </c>
      <c r="H13" s="58">
        <v>0.997</v>
      </c>
      <c r="I13" s="60">
        <f t="shared" si="0"/>
        <v>1.867</v>
      </c>
      <c r="J13" s="58">
        <v>25.163999999999998</v>
      </c>
      <c r="K13" s="58">
        <v>25.163999999999998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(W13+'01'!W13+'02'!W13+'03'!W13+'04'!W13+'05'!W13+'06'!W13+'07'!W13+'08'!W13+'09'!W13+'10'!W13+'11'!W13+'12'!W13+'13'!W13)/14</f>
        <v>71.2719298245614</v>
      </c>
      <c r="Y13" s="59">
        <v>0.688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0.679</v>
      </c>
      <c r="F14" s="58">
        <v>0.674</v>
      </c>
      <c r="G14" s="58" t="s">
        <v>51</v>
      </c>
      <c r="H14" s="58">
        <v>0.629</v>
      </c>
      <c r="I14" s="60">
        <f t="shared" si="0"/>
        <v>1.9820000000000002</v>
      </c>
      <c r="J14" s="58">
        <v>27.259</v>
      </c>
      <c r="K14" s="58">
        <v>27.259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95</v>
      </c>
      <c r="W14" s="62">
        <f>(10000*V14)/(144*99)</f>
        <v>66.63860830527497</v>
      </c>
      <c r="X14" s="62">
        <f>(W14+'01'!W14+'02'!W14+'03'!W14+'04'!W14+'05'!W14+'06'!W14+'07'!W14+'08'!W14+'09'!W14+'10'!W14+'11'!W14+'12'!W14+'13'!W14)/14</f>
        <v>65.03527336860671</v>
      </c>
      <c r="Y14" s="59">
        <v>0.534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 t="s">
        <v>56</v>
      </c>
      <c r="G15" s="59" t="s">
        <v>56</v>
      </c>
      <c r="H15" s="64"/>
      <c r="I15" s="60">
        <f t="shared" si="0"/>
        <v>0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(W15+'01'!W15+'02'!W15+'03'!W15+'04'!W15+'05'!W15+'06'!W15+'07'!W15+'08'!W15+'09'!W15+'10'!W15+'11'!W15+'12'!W15+'13'!W15)/14</f>
        <v>1.2715269512852596</v>
      </c>
      <c r="Y15" s="59">
        <v>0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0.27</v>
      </c>
      <c r="F16" s="59" t="s">
        <v>56</v>
      </c>
      <c r="G16" s="59">
        <v>0.123</v>
      </c>
      <c r="H16" s="64"/>
      <c r="I16" s="60">
        <f t="shared" si="0"/>
        <v>0.393</v>
      </c>
      <c r="J16" s="58">
        <v>5.210999999999999</v>
      </c>
      <c r="K16" s="59">
        <v>5.210999999999999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>
        <f>(W16+'01'!W16+'02'!W16+'03'!W16+'04'!W16+'05'!W16+'06'!W16+'07'!W16+'08'!W16+'09'!W16+'10'!W16+'11'!W16+'12'!W16+'13'!W16)/14</f>
        <v>70.05876571093965</v>
      </c>
      <c r="Y16" s="59">
        <v>0.089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0.11252</v>
      </c>
      <c r="F17" s="59">
        <v>0.118557</v>
      </c>
      <c r="G17" s="59">
        <v>0.116377</v>
      </c>
      <c r="H17" s="64"/>
      <c r="I17" s="60">
        <f t="shared" si="0"/>
        <v>0.347454</v>
      </c>
      <c r="J17" s="58">
        <v>4.217314</v>
      </c>
      <c r="K17" s="59">
        <v>4.217314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15.6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0.052856</v>
      </c>
      <c r="F18" s="58">
        <v>0.046474</v>
      </c>
      <c r="G18" s="58">
        <v>0.05558</v>
      </c>
      <c r="H18" s="64"/>
      <c r="I18" s="60">
        <f t="shared" si="0"/>
        <v>0.15491</v>
      </c>
      <c r="J18" s="58">
        <v>1.863238</v>
      </c>
      <c r="K18" s="59">
        <v>1.863238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6.7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0.0153</v>
      </c>
      <c r="I19" s="60">
        <f t="shared" si="0"/>
        <v>0.0153</v>
      </c>
      <c r="J19" s="58">
        <v>0.21359</v>
      </c>
      <c r="K19" s="59">
        <v>0.21359</v>
      </c>
      <c r="L19" s="60"/>
      <c r="M19" s="60"/>
      <c r="N19" s="60"/>
      <c r="O19" s="58"/>
      <c r="P19" s="58"/>
      <c r="Q19" s="59"/>
      <c r="R19" s="59"/>
      <c r="S19" s="59">
        <v>0.0089</v>
      </c>
      <c r="T19" s="59"/>
      <c r="U19" s="60">
        <f t="shared" si="1"/>
        <v>0.0089</v>
      </c>
      <c r="V19" s="77">
        <v>0.7</v>
      </c>
      <c r="W19" s="60"/>
      <c r="X19" s="62"/>
      <c r="Y19" s="59">
        <v>0.0021</v>
      </c>
      <c r="Z19" s="63" t="s">
        <v>121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0.00053</v>
      </c>
      <c r="F20" s="58">
        <v>0.00276</v>
      </c>
      <c r="G20" s="64"/>
      <c r="H20" s="64"/>
      <c r="I20" s="60">
        <f t="shared" si="0"/>
        <v>0.00329</v>
      </c>
      <c r="J20" s="58">
        <v>0.07156000000000001</v>
      </c>
      <c r="K20" s="59">
        <v>0.07156000000000001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0.53</v>
      </c>
      <c r="W20" s="60"/>
      <c r="X20" s="62"/>
      <c r="Y20" s="59">
        <v>0.001069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0.011</v>
      </c>
      <c r="F21" s="59">
        <v>0.016</v>
      </c>
      <c r="G21" s="64"/>
      <c r="H21" s="64"/>
      <c r="I21" s="60">
        <f t="shared" si="0"/>
        <v>0.027</v>
      </c>
      <c r="J21" s="58">
        <v>0.4340000000000001</v>
      </c>
      <c r="K21" s="59">
        <v>0.4340000000000001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1.46</v>
      </c>
      <c r="W21" s="60"/>
      <c r="X21" s="62"/>
      <c r="Y21" s="59">
        <v>0.00859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>
        <v>0.008285</v>
      </c>
      <c r="F22" s="59" t="s">
        <v>56</v>
      </c>
      <c r="G22" s="64"/>
      <c r="H22" s="64"/>
      <c r="I22" s="60">
        <f t="shared" si="0"/>
        <v>0.008285</v>
      </c>
      <c r="J22" s="58">
        <v>0.008285</v>
      </c>
      <c r="K22" s="59">
        <v>0.008285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1</v>
      </c>
      <c r="W22" s="60"/>
      <c r="X22" s="62"/>
      <c r="Y22" s="59">
        <v>0.0037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0.019392</v>
      </c>
      <c r="F23" s="59" t="s">
        <v>56</v>
      </c>
      <c r="G23" s="64"/>
      <c r="H23" s="64" t="s">
        <v>49</v>
      </c>
      <c r="I23" s="60">
        <f t="shared" si="0"/>
        <v>0.019392</v>
      </c>
      <c r="J23" s="58">
        <v>0.282191</v>
      </c>
      <c r="K23" s="59">
        <v>0.282191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1.15</v>
      </c>
      <c r="W23" s="60"/>
      <c r="X23" s="62"/>
      <c r="Y23" s="59">
        <v>0.00536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0.1827</v>
      </c>
      <c r="G24" s="64"/>
      <c r="H24" s="64"/>
      <c r="I24" s="60">
        <f t="shared" si="0"/>
        <v>0.1827</v>
      </c>
      <c r="J24" s="58">
        <v>3.3021000000000003</v>
      </c>
      <c r="K24" s="59">
        <v>3.3021000000000003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0.1827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0.037926</v>
      </c>
      <c r="F25" s="59" t="s">
        <v>56</v>
      </c>
      <c r="G25" s="64"/>
      <c r="H25" s="64"/>
      <c r="I25" s="60">
        <f t="shared" si="0"/>
        <v>0.037926</v>
      </c>
      <c r="J25" s="58">
        <v>0.564293</v>
      </c>
      <c r="K25" s="59">
        <v>0.564293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</v>
      </c>
      <c r="W25" s="59"/>
      <c r="X25" s="62"/>
      <c r="Y25" s="59">
        <v>0.037926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8.542351400000001</v>
      </c>
      <c r="J27" s="61">
        <f>SUM(J7:J26)</f>
        <v>116.2744556</v>
      </c>
      <c r="K27" s="61">
        <f>SUM(K7:K26)</f>
        <v>116.2744556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0.0089</v>
      </c>
      <c r="T27" s="61">
        <f t="shared" si="2"/>
        <v>0</v>
      </c>
      <c r="U27" s="61">
        <f t="shared" si="2"/>
        <v>0.0089</v>
      </c>
      <c r="V27" s="78">
        <f t="shared" si="2"/>
        <v>740.1400000000001</v>
      </c>
      <c r="W27" s="60"/>
      <c r="X27" s="60"/>
      <c r="Y27" s="60">
        <f>SUM(Y7:Y26)</f>
        <v>2.57506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X7" sqref="X7:X16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125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0.533696</v>
      </c>
      <c r="F7" s="58" t="s">
        <v>81</v>
      </c>
      <c r="G7" s="58">
        <v>0.7465632</v>
      </c>
      <c r="H7" s="58" t="s">
        <v>51</v>
      </c>
      <c r="I7" s="60">
        <f aca="true" t="shared" si="0" ref="I7:I26">SUM(E7:H7)</f>
        <v>1.2802592</v>
      </c>
      <c r="J7" s="58">
        <v>17.7777688</v>
      </c>
      <c r="K7" s="58">
        <v>17.7777688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(W7+'01'!W7+'02'!W7+'03'!W7+'04'!W7+'05'!W7+'06'!W7+'07'!W7+'08'!W7+'09'!W7+'10'!W7+'11'!W7+'12'!W7+'13'!W7+'14'!W7)/15</f>
        <v>44.28137651821862</v>
      </c>
      <c r="Y7" s="59">
        <v>0.3423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 t="s">
        <v>56</v>
      </c>
      <c r="F8" s="58">
        <v>0.28562</v>
      </c>
      <c r="G8" s="58">
        <v>0.38584</v>
      </c>
      <c r="H8" s="58" t="s">
        <v>56</v>
      </c>
      <c r="I8" s="60">
        <f t="shared" si="0"/>
        <v>0.67146</v>
      </c>
      <c r="J8" s="58">
        <v>9.373284</v>
      </c>
      <c r="K8" s="58">
        <v>9.373284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54</v>
      </c>
      <c r="W8" s="62">
        <f>(10000*V8)/(120*99)</f>
        <v>45.45454545454545</v>
      </c>
      <c r="X8" s="62">
        <f>(W8+'01'!W8+'02'!W8+'03'!W8+'04'!W8+'05'!W8+'06'!W8+'07'!W8+'08'!W8+'09'!W8+'10'!W8+'11'!W8+'12'!W8+'13'!W8+'14'!W8)/15</f>
        <v>45.173961840628515</v>
      </c>
      <c r="Y8" s="59">
        <v>0.176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0.129</v>
      </c>
      <c r="G9" s="58">
        <v>0.0855</v>
      </c>
      <c r="H9" s="64"/>
      <c r="I9" s="60">
        <f t="shared" si="0"/>
        <v>0.21450000000000002</v>
      </c>
      <c r="J9" s="59">
        <v>3.4021000000000003</v>
      </c>
      <c r="K9" s="59">
        <v>3.4021000000000003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(W9+'01'!W9+'02'!W9+'03'!W9+'04'!W9+'05'!W9+'06'!W9+'07'!W9+'08'!W9+'09'!W9+'10'!W9+'11'!W9+'12'!W9+'13'!W9+'14'!W9)/15</f>
        <v>55.20122337846407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>
        <v>0.00624</v>
      </c>
      <c r="F10" s="58">
        <v>0.1932</v>
      </c>
      <c r="G10" s="59">
        <v>0.15948</v>
      </c>
      <c r="H10" s="64"/>
      <c r="I10" s="60">
        <f t="shared" si="0"/>
        <v>0.35892</v>
      </c>
      <c r="J10" s="59">
        <v>5.60985</v>
      </c>
      <c r="K10" s="59">
        <v>5.60985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(W10+'01'!W10+'02'!W10+'03'!W10+'04'!W10+'05'!W10+'06'!W10+'07'!W10+'08'!W10+'09'!W10+'10'!W10+'11'!W10+'12'!W10+'13'!W10+'14'!W10)/15</f>
        <v>64.17471318839719</v>
      </c>
      <c r="Y10" s="59">
        <v>0.102</v>
      </c>
      <c r="Z10" s="63"/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0.09192</v>
      </c>
      <c r="F11" s="59" t="s">
        <v>51</v>
      </c>
      <c r="G11" s="59">
        <v>0.15246</v>
      </c>
      <c r="H11" s="64" t="s">
        <v>49</v>
      </c>
      <c r="I11" s="60">
        <f>SUM(E11:H11)</f>
        <v>0.24438000000000001</v>
      </c>
      <c r="J11" s="59">
        <v>3.8961000000000006</v>
      </c>
      <c r="K11" s="59">
        <v>3.8961000000000006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(W11+'01'!W11+'02'!W11+'03'!W11+'04'!W11+'05'!W11+'06'!W11+'07'!W11+'08'!W11+'09'!W11+'10'!W11+'11'!W11+'12'!W11+'13'!W11+'14'!W11)/15</f>
        <v>67.13662302786169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0.46309</v>
      </c>
      <c r="F12" s="58">
        <v>0.526374</v>
      </c>
      <c r="G12" s="58" t="s">
        <v>51</v>
      </c>
      <c r="H12" s="64"/>
      <c r="I12" s="60">
        <f t="shared" si="0"/>
        <v>0.989464</v>
      </c>
      <c r="J12" s="58">
        <v>10.872765000000001</v>
      </c>
      <c r="K12" s="58">
        <v>10.872765000000001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(W12+'01'!W12+'02'!W12+'03'!W12+'04'!W12+'05'!W12+'06'!W12+'07'!W12+'08'!W12+'09'!W12+'10'!W12+'11'!W12+'12'!W12+'13'!W12+'14'!W12)/15</f>
        <v>72.73134161351685</v>
      </c>
      <c r="Y12" s="59">
        <v>0.206241</v>
      </c>
      <c r="Z12" s="63" t="s">
        <v>93</v>
      </c>
    </row>
    <row r="13" spans="1:26" s="46" customFormat="1" ht="64.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0.249</v>
      </c>
      <c r="F13" s="58" t="s">
        <v>51</v>
      </c>
      <c r="G13" s="58">
        <v>0.243</v>
      </c>
      <c r="H13" s="58">
        <v>1.475</v>
      </c>
      <c r="I13" s="60">
        <f t="shared" si="0"/>
        <v>1.967</v>
      </c>
      <c r="J13" s="58">
        <v>27.130999999999997</v>
      </c>
      <c r="K13" s="58">
        <v>27.130999999999997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(W13+'01'!W13+'02'!W13+'03'!W13+'04'!W13+'05'!W13+'06'!W13+'07'!W13+'08'!W13+'09'!W13+'10'!W13+'11'!W13+'12'!W13+'13'!W13+'14'!W13)/15</f>
        <v>71.59312422470316</v>
      </c>
      <c r="Y13" s="59">
        <v>0.689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0.678</v>
      </c>
      <c r="F14" s="58">
        <v>0.688</v>
      </c>
      <c r="G14" s="58" t="s">
        <v>51</v>
      </c>
      <c r="H14" s="58">
        <v>0.621</v>
      </c>
      <c r="I14" s="60">
        <f t="shared" si="0"/>
        <v>1.987</v>
      </c>
      <c r="J14" s="58">
        <v>29.246000000000002</v>
      </c>
      <c r="K14" s="58">
        <v>29.246000000000002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95</v>
      </c>
      <c r="W14" s="62">
        <f>(10000*V14)/(144*99)</f>
        <v>66.63860830527497</v>
      </c>
      <c r="X14" s="62">
        <f>(W14+'01'!W14+'02'!W14+'03'!W14+'04'!W14+'05'!W14+'06'!W14+'07'!W14+'08'!W14+'09'!W14+'10'!W14+'11'!W14+'12'!W14+'13'!W14+'14'!W14)/15</f>
        <v>65.14216236438459</v>
      </c>
      <c r="Y14" s="59">
        <v>0.285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>
        <v>0.321</v>
      </c>
      <c r="G15" s="59" t="s">
        <v>56</v>
      </c>
      <c r="H15" s="64"/>
      <c r="I15" s="60">
        <f t="shared" si="0"/>
        <v>0.321</v>
      </c>
      <c r="J15" s="58">
        <v>0.8320000000000001</v>
      </c>
      <c r="K15" s="59">
        <v>0.8320000000000001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(W15+'01'!W15+'02'!W15+'03'!W15+'04'!W15+'05'!W15+'06'!W15+'07'!W15+'08'!W15+'09'!W15+'10'!W15+'11'!W15+'12'!W15+'13'!W15+'14'!W15)/15</f>
        <v>1.1867584878662423</v>
      </c>
      <c r="Y15" s="59">
        <v>0.321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0.219</v>
      </c>
      <c r="F16" s="59" t="s">
        <v>56</v>
      </c>
      <c r="G16" s="59">
        <v>0.202</v>
      </c>
      <c r="H16" s="64"/>
      <c r="I16" s="60">
        <f t="shared" si="0"/>
        <v>0.42100000000000004</v>
      </c>
      <c r="J16" s="58">
        <v>5.632</v>
      </c>
      <c r="K16" s="59">
        <v>5.632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>
        <f>(W16+'01'!W16+'02'!W16+'03'!W16+'04'!W16+'05'!W16+'06'!W16+'07'!W16+'08'!W16+'09'!W16+'10'!W16+'11'!W16+'12'!W16+'13'!W16+'14'!W16)/15</f>
        <v>70.10523918736482</v>
      </c>
      <c r="Y16" s="59">
        <v>0.118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0.106365</v>
      </c>
      <c r="F17" s="59">
        <v>0.113623</v>
      </c>
      <c r="G17" s="59">
        <v>0.113547</v>
      </c>
      <c r="H17" s="64"/>
      <c r="I17" s="60">
        <f t="shared" si="0"/>
        <v>0.333535</v>
      </c>
      <c r="J17" s="58">
        <v>4.550849</v>
      </c>
      <c r="K17" s="59">
        <v>4.550849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15.9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0.050162</v>
      </c>
      <c r="F18" s="58">
        <v>0.050352</v>
      </c>
      <c r="G18" s="58">
        <v>0.055816</v>
      </c>
      <c r="H18" s="64"/>
      <c r="I18" s="60">
        <f t="shared" si="0"/>
        <v>0.15633</v>
      </c>
      <c r="J18" s="58">
        <v>2.019568</v>
      </c>
      <c r="K18" s="59">
        <v>2.019568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6.8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0.01566</v>
      </c>
      <c r="I19" s="60">
        <f t="shared" si="0"/>
        <v>0.01566</v>
      </c>
      <c r="J19" s="58">
        <v>0.22925</v>
      </c>
      <c r="K19" s="59">
        <v>0.22925</v>
      </c>
      <c r="L19" s="60"/>
      <c r="M19" s="60"/>
      <c r="N19" s="60"/>
      <c r="O19" s="58"/>
      <c r="P19" s="58"/>
      <c r="Q19" s="59"/>
      <c r="R19" s="59"/>
      <c r="S19" s="59">
        <v>0.0089</v>
      </c>
      <c r="T19" s="59"/>
      <c r="U19" s="60">
        <f t="shared" si="1"/>
        <v>0.0089</v>
      </c>
      <c r="V19" s="77">
        <v>0.7</v>
      </c>
      <c r="W19" s="60"/>
      <c r="X19" s="62"/>
      <c r="Y19" s="59">
        <v>0.0021</v>
      </c>
      <c r="Z19" s="63" t="s">
        <v>121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0.00282</v>
      </c>
      <c r="F20" s="58">
        <v>0.00146</v>
      </c>
      <c r="G20" s="64"/>
      <c r="H20" s="64"/>
      <c r="I20" s="60">
        <f t="shared" si="0"/>
        <v>0.00428</v>
      </c>
      <c r="J20" s="58">
        <v>0.07584000000000002</v>
      </c>
      <c r="K20" s="59">
        <v>0.07584000000000002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0.28</v>
      </c>
      <c r="W20" s="60"/>
      <c r="X20" s="62"/>
      <c r="Y20" s="59">
        <v>0.001653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0.012</v>
      </c>
      <c r="F21" s="59">
        <v>0.016</v>
      </c>
      <c r="G21" s="64"/>
      <c r="H21" s="64"/>
      <c r="I21" s="60">
        <f t="shared" si="0"/>
        <v>0.028</v>
      </c>
      <c r="J21" s="58">
        <v>0.46200000000000013</v>
      </c>
      <c r="K21" s="59">
        <v>0.46200000000000013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1.44</v>
      </c>
      <c r="W21" s="60"/>
      <c r="X21" s="62"/>
      <c r="Y21" s="59">
        <v>0.00834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>
        <v>0.016054</v>
      </c>
      <c r="F22" s="59">
        <v>0.001546</v>
      </c>
      <c r="G22" s="64"/>
      <c r="H22" s="64"/>
      <c r="I22" s="60">
        <f t="shared" si="0"/>
        <v>0.017599999999999998</v>
      </c>
      <c r="J22" s="58">
        <v>0.025885</v>
      </c>
      <c r="K22" s="59">
        <v>0.025885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1.2</v>
      </c>
      <c r="W22" s="60"/>
      <c r="X22" s="62"/>
      <c r="Y22" s="59">
        <v>0.0036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0.026643</v>
      </c>
      <c r="F23" s="59" t="s">
        <v>56</v>
      </c>
      <c r="G23" s="64"/>
      <c r="H23" s="64" t="s">
        <v>49</v>
      </c>
      <c r="I23" s="60">
        <f t="shared" si="0"/>
        <v>0.026643</v>
      </c>
      <c r="J23" s="58">
        <v>0.30883400000000005</v>
      </c>
      <c r="K23" s="59">
        <v>0.30883400000000005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1.15</v>
      </c>
      <c r="W23" s="60"/>
      <c r="X23" s="62"/>
      <c r="Y23" s="59">
        <v>0.0067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0.1813</v>
      </c>
      <c r="G24" s="64"/>
      <c r="H24" s="64"/>
      <c r="I24" s="60">
        <f t="shared" si="0"/>
        <v>0.1813</v>
      </c>
      <c r="J24" s="58">
        <v>3.4834</v>
      </c>
      <c r="K24" s="59">
        <v>3.4834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0.1813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0.044871</v>
      </c>
      <c r="F25" s="59" t="s">
        <v>56</v>
      </c>
      <c r="G25" s="64"/>
      <c r="H25" s="64"/>
      <c r="I25" s="60">
        <f t="shared" si="0"/>
        <v>0.044871</v>
      </c>
      <c r="J25" s="58">
        <v>0.609164</v>
      </c>
      <c r="K25" s="59">
        <v>0.609164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2.1</v>
      </c>
      <c r="W25" s="59"/>
      <c r="X25" s="62"/>
      <c r="Y25" s="59">
        <v>0.0121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9.2632022</v>
      </c>
      <c r="J27" s="61">
        <f>SUM(J7:J26)</f>
        <v>125.53765780000002</v>
      </c>
      <c r="K27" s="61">
        <f>SUM(K7:K26)</f>
        <v>125.53765780000002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0.0089</v>
      </c>
      <c r="T27" s="61">
        <f t="shared" si="2"/>
        <v>0</v>
      </c>
      <c r="U27" s="61">
        <f t="shared" si="2"/>
        <v>0.0089</v>
      </c>
      <c r="V27" s="78">
        <f t="shared" si="2"/>
        <v>740.57</v>
      </c>
      <c r="W27" s="60"/>
      <c r="X27" s="60"/>
      <c r="Y27" s="60">
        <f>SUM(Y7:Y26)</f>
        <v>2.6523339999999997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2">
      <selection activeCell="X7" sqref="X7:X16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130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0.422128</v>
      </c>
      <c r="F7" s="58" t="s">
        <v>81</v>
      </c>
      <c r="G7" s="58">
        <v>0.7533616</v>
      </c>
      <c r="H7" s="58" t="s">
        <v>51</v>
      </c>
      <c r="I7" s="60">
        <f aca="true" t="shared" si="0" ref="I7:I26">SUM(E7:H7)</f>
        <v>1.1754896</v>
      </c>
      <c r="J7" s="58">
        <v>18.9527688</v>
      </c>
      <c r="K7" s="58">
        <v>18.9527688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(W7+'01'!W7+'02'!W7+'03'!W7+'04'!W7+'05'!W7+'06'!W7+'07'!W7+'08'!W7+'09'!W7+'10'!W7+'11'!W7+'12'!W7+'13'!W7+'14'!W7+'15'!W7)/16</f>
        <v>44.28137651821862</v>
      </c>
      <c r="Y7" s="59">
        <v>0.34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0.18802</v>
      </c>
      <c r="F8" s="58">
        <v>0.0308</v>
      </c>
      <c r="G8" s="58">
        <v>0.38712</v>
      </c>
      <c r="H8" s="58" t="s">
        <v>56</v>
      </c>
      <c r="I8" s="60">
        <f t="shared" si="0"/>
        <v>0.60594</v>
      </c>
      <c r="J8" s="58">
        <v>9.979224</v>
      </c>
      <c r="K8" s="58">
        <v>9.979224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54</v>
      </c>
      <c r="W8" s="62">
        <f>(10000*V8)/(120*99)</f>
        <v>45.45454545454545</v>
      </c>
      <c r="X8" s="62">
        <f>(W8+'01'!W8+'02'!W8+'03'!W8+'04'!W8+'05'!W8+'06'!W8+'07'!W8+'08'!W8+'09'!W8+'10'!W8+'11'!W8+'12'!W8+'13'!W8+'14'!W8+'15'!W8)/16</f>
        <v>45.191498316498325</v>
      </c>
      <c r="Y8" s="59">
        <v>0.175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0.126</v>
      </c>
      <c r="G9" s="58">
        <v>0.0918</v>
      </c>
      <c r="H9" s="64"/>
      <c r="I9" s="60">
        <f t="shared" si="0"/>
        <v>0.2178</v>
      </c>
      <c r="J9" s="59">
        <v>3.6199000000000003</v>
      </c>
      <c r="K9" s="59">
        <v>3.6199000000000003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(W9+'01'!W9+'02'!W9+'03'!W9+'04'!W9+'05'!W9+'06'!W9+'07'!W9+'08'!W9+'09'!W9+'10'!W9+'11'!W9+'12'!W9+'13'!W9+'14'!W9+'15'!W9)/16</f>
        <v>55.20122337846407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>
        <v>0.12815</v>
      </c>
      <c r="F10" s="58">
        <v>0.18564</v>
      </c>
      <c r="G10" s="59">
        <v>0.02292</v>
      </c>
      <c r="H10" s="64"/>
      <c r="I10" s="60">
        <f t="shared" si="0"/>
        <v>0.33671</v>
      </c>
      <c r="J10" s="59">
        <v>5.94656</v>
      </c>
      <c r="K10" s="59">
        <v>5.94656</v>
      </c>
      <c r="L10" s="60"/>
      <c r="M10" s="60"/>
      <c r="N10" s="60"/>
      <c r="O10" s="59">
        <v>0.01067</v>
      </c>
      <c r="P10" s="59"/>
      <c r="Q10" s="59"/>
      <c r="R10" s="59"/>
      <c r="S10" s="59"/>
      <c r="T10" s="59"/>
      <c r="U10" s="60">
        <f t="shared" si="1"/>
        <v>0.01067</v>
      </c>
      <c r="V10" s="62">
        <v>32.5</v>
      </c>
      <c r="W10" s="62">
        <f>(10000*V10)/(51*99.3)</f>
        <v>64.1747131883972</v>
      </c>
      <c r="X10" s="62">
        <f>(W10+'01'!W10+'02'!W10+'03'!W10+'04'!W10+'05'!W10+'06'!W10+'07'!W10+'08'!W10+'09'!W10+'10'!W10+'11'!W10+'12'!W10+'13'!W10+'14'!W10+'15'!W10)/16</f>
        <v>64.17471318839719</v>
      </c>
      <c r="Y10" s="59">
        <v>0.105</v>
      </c>
      <c r="Z10" s="63" t="s">
        <v>133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0.09858</v>
      </c>
      <c r="F11" s="59" t="s">
        <v>51</v>
      </c>
      <c r="G11" s="59">
        <v>0.16338</v>
      </c>
      <c r="H11" s="64" t="s">
        <v>49</v>
      </c>
      <c r="I11" s="60">
        <f>SUM(E11:H11)</f>
        <v>0.26195999999999997</v>
      </c>
      <c r="J11" s="59">
        <v>4.158060000000001</v>
      </c>
      <c r="K11" s="59">
        <v>4.158060000000001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(W11+'01'!W11+'02'!W11+'03'!W11+'04'!W11+'05'!W11+'06'!W11+'07'!W11+'08'!W11+'09'!W11+'10'!W11+'11'!W11+'12'!W11+'13'!W11+'14'!W11+'15'!W11)/16</f>
        <v>67.13662302786169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0.519874</v>
      </c>
      <c r="F12" s="58">
        <v>0.520723</v>
      </c>
      <c r="G12" s="58" t="s">
        <v>51</v>
      </c>
      <c r="H12" s="64"/>
      <c r="I12" s="60">
        <f t="shared" si="0"/>
        <v>1.040597</v>
      </c>
      <c r="J12" s="58">
        <v>11.913362000000001</v>
      </c>
      <c r="K12" s="58">
        <v>11.913362000000001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(W12+'01'!W12+'02'!W12+'03'!W12+'04'!W12+'05'!W12+'06'!W12+'07'!W12+'08'!W12+'09'!W12+'10'!W12+'11'!W12+'12'!W12+'13'!W12+'14'!W12+'15'!W12)/16</f>
        <v>72.9411435604789</v>
      </c>
      <c r="Y12" s="59">
        <v>0.205</v>
      </c>
      <c r="Z12" s="63" t="s">
        <v>93</v>
      </c>
    </row>
    <row r="13" spans="1:26" s="46" customFormat="1" ht="64.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0.289</v>
      </c>
      <c r="F13" s="58" t="s">
        <v>51</v>
      </c>
      <c r="G13" s="58">
        <v>0.253</v>
      </c>
      <c r="H13" s="58">
        <v>1.604</v>
      </c>
      <c r="I13" s="60">
        <f t="shared" si="0"/>
        <v>2.146</v>
      </c>
      <c r="J13" s="58">
        <v>29.276999999999997</v>
      </c>
      <c r="K13" s="58">
        <v>29.276999999999997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(W13+'01'!W13+'02'!W13+'03'!W13+'04'!W13+'05'!W13+'06'!W13+'07'!W13+'08'!W13+'09'!W13+'10'!W13+'11'!W13+'12'!W13+'13'!W13+'14'!W13+'15'!W13)/16</f>
        <v>71.87416932482721</v>
      </c>
      <c r="Y13" s="59">
        <v>0.69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0.657</v>
      </c>
      <c r="F14" s="58">
        <v>0.663</v>
      </c>
      <c r="G14" s="58" t="s">
        <v>51</v>
      </c>
      <c r="H14" s="58">
        <v>0.503</v>
      </c>
      <c r="I14" s="60">
        <f t="shared" si="0"/>
        <v>1.823</v>
      </c>
      <c r="J14" s="58">
        <v>31.069000000000003</v>
      </c>
      <c r="K14" s="58">
        <v>31.069000000000003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95</v>
      </c>
      <c r="W14" s="62">
        <f>(10000*V14)/(144*99)</f>
        <v>66.63860830527497</v>
      </c>
      <c r="X14" s="62">
        <f>(W14+'01'!W14+'02'!W14+'03'!W14+'04'!W14+'05'!W14+'06'!W14+'07'!W14+'08'!W14+'09'!W14+'10'!W14+'11'!W14+'12'!W14+'13'!W14+'14'!W14+'15'!W14)/16</f>
        <v>65.23569023569024</v>
      </c>
      <c r="Y14" s="59">
        <v>0.28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>
        <v>0.734</v>
      </c>
      <c r="G15" s="59" t="s">
        <v>56</v>
      </c>
      <c r="H15" s="64"/>
      <c r="I15" s="60">
        <f t="shared" si="0"/>
        <v>0.734</v>
      </c>
      <c r="J15" s="58">
        <v>1.566</v>
      </c>
      <c r="K15" s="58">
        <v>1.566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31</v>
      </c>
      <c r="W15" s="62">
        <f>(10000*V15)/(198*99.3)</f>
        <v>15.76693419593722</v>
      </c>
      <c r="X15" s="62">
        <f>(W15+'01'!W15+'02'!W15+'03'!W15+'04'!W15+'05'!W15+'06'!W15+'07'!W15+'08'!W15+'09'!W15+'10'!W15+'11'!W15+'12'!W15+'13'!W15+'14'!W15+'15'!W15)/16</f>
        <v>2.098019469620678</v>
      </c>
      <c r="Y15" s="59">
        <v>0.32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0.102</v>
      </c>
      <c r="F16" s="59" t="s">
        <v>56</v>
      </c>
      <c r="G16" s="59">
        <v>0.234</v>
      </c>
      <c r="H16" s="64"/>
      <c r="I16" s="60">
        <f t="shared" si="0"/>
        <v>0.336</v>
      </c>
      <c r="J16" s="58">
        <v>5.968</v>
      </c>
      <c r="K16" s="58">
        <v>5.968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30</v>
      </c>
      <c r="W16" s="62">
        <f>(10000*V16)/(41.4*99)</f>
        <v>73.19572536963842</v>
      </c>
      <c r="X16" s="62">
        <f>(W16+'01'!W16+'02'!W16+'03'!W16+'04'!W16+'05'!W16+'06'!W16+'07'!W16+'08'!W16+'09'!W16+'10'!W16+'11'!W16+'12'!W16+'13'!W16+'14'!W16+'15'!W16)/16</f>
        <v>70.29839457375691</v>
      </c>
      <c r="Y16" s="59">
        <v>0.115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0.082257</v>
      </c>
      <c r="F17" s="59">
        <v>0.104463</v>
      </c>
      <c r="G17" s="59">
        <v>0.131973</v>
      </c>
      <c r="H17" s="64"/>
      <c r="I17" s="60">
        <f t="shared" si="0"/>
        <v>0.318693</v>
      </c>
      <c r="J17" s="58">
        <v>4.869542</v>
      </c>
      <c r="K17" s="58">
        <v>4.869542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17.2</v>
      </c>
      <c r="W17" s="62"/>
      <c r="X17" s="62"/>
      <c r="Y17" s="59">
        <v>0.06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0.05036</v>
      </c>
      <c r="F18" s="58">
        <v>0.03255</v>
      </c>
      <c r="G18" s="58">
        <v>0.05606</v>
      </c>
      <c r="H18" s="64"/>
      <c r="I18" s="60">
        <f t="shared" si="0"/>
        <v>0.13897</v>
      </c>
      <c r="J18" s="58">
        <v>2.158538</v>
      </c>
      <c r="K18" s="58">
        <v>2.158538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6.8</v>
      </c>
      <c r="W18" s="62"/>
      <c r="X18" s="62"/>
      <c r="Y18" s="59">
        <v>0.03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0.01602</v>
      </c>
      <c r="I19" s="60">
        <f t="shared" si="0"/>
        <v>0.01602</v>
      </c>
      <c r="J19" s="58">
        <v>0.24527000000000002</v>
      </c>
      <c r="K19" s="58">
        <v>0.24527000000000002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</v>
      </c>
      <c r="Z19" s="63" t="s">
        <v>121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0.00153</v>
      </c>
      <c r="F20" s="58">
        <v>0.00269</v>
      </c>
      <c r="G20" s="64"/>
      <c r="H20" s="64"/>
      <c r="I20" s="60">
        <f t="shared" si="0"/>
        <v>0.00422</v>
      </c>
      <c r="J20" s="58">
        <v>0.08006000000000002</v>
      </c>
      <c r="K20" s="58">
        <v>0.08006000000000002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0.06</v>
      </c>
      <c r="W20" s="60"/>
      <c r="X20" s="62"/>
      <c r="Y20" s="59">
        <v>0.001653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0.013</v>
      </c>
      <c r="F21" s="59">
        <v>0.017</v>
      </c>
      <c r="G21" s="64"/>
      <c r="H21" s="64"/>
      <c r="I21" s="60">
        <f t="shared" si="0"/>
        <v>0.03</v>
      </c>
      <c r="J21" s="58">
        <v>0.4920000000000001</v>
      </c>
      <c r="K21" s="58">
        <v>0.4920000000000001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1.68</v>
      </c>
      <c r="W21" s="60"/>
      <c r="X21" s="62"/>
      <c r="Y21" s="59">
        <v>0.009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>
        <v>0.011283</v>
      </c>
      <c r="F22" s="59">
        <v>0.011387</v>
      </c>
      <c r="G22" s="64"/>
      <c r="H22" s="64"/>
      <c r="I22" s="60">
        <f t="shared" si="0"/>
        <v>0.02267</v>
      </c>
      <c r="J22" s="58">
        <v>0.048555</v>
      </c>
      <c r="K22" s="58">
        <v>0.048555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1</v>
      </c>
      <c r="W22" s="60"/>
      <c r="X22" s="62"/>
      <c r="Y22" s="59">
        <v>0.0036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0.02588</v>
      </c>
      <c r="F23" s="59" t="s">
        <v>56</v>
      </c>
      <c r="G23" s="64"/>
      <c r="H23" s="64" t="s">
        <v>49</v>
      </c>
      <c r="I23" s="60">
        <f t="shared" si="0"/>
        <v>0.02588</v>
      </c>
      <c r="J23" s="58">
        <v>0.33471400000000007</v>
      </c>
      <c r="K23" s="58">
        <v>0.33471400000000007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1.15</v>
      </c>
      <c r="W23" s="60"/>
      <c r="X23" s="62"/>
      <c r="Y23" s="59">
        <v>0.0067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0.1851</v>
      </c>
      <c r="G24" s="64"/>
      <c r="H24" s="64"/>
      <c r="I24" s="60">
        <f t="shared" si="0"/>
        <v>0.1851</v>
      </c>
      <c r="J24" s="58">
        <v>3.6685</v>
      </c>
      <c r="K24" s="58">
        <v>3.6685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0.18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0.041744</v>
      </c>
      <c r="F25" s="59" t="s">
        <v>56</v>
      </c>
      <c r="G25" s="64"/>
      <c r="H25" s="64"/>
      <c r="I25" s="60">
        <f t="shared" si="0"/>
        <v>0.041744</v>
      </c>
      <c r="J25" s="58">
        <v>0.650908</v>
      </c>
      <c r="K25" s="58">
        <v>0.650908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2.15</v>
      </c>
      <c r="W25" s="59"/>
      <c r="X25" s="62"/>
      <c r="Y25" s="59">
        <v>0.011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8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9.460793599999999</v>
      </c>
      <c r="J27" s="61">
        <f>SUM(J7:J26)</f>
        <v>134.99796179999996</v>
      </c>
      <c r="K27" s="61">
        <f>SUM(K7:K26)</f>
        <v>134.99796179999996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0.01067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0.01067</v>
      </c>
      <c r="V27" s="78">
        <f t="shared" si="2"/>
        <v>773.7399999999999</v>
      </c>
      <c r="W27" s="60"/>
      <c r="X27" s="60"/>
      <c r="Y27" s="60">
        <f>SUM(Y7:Y26)</f>
        <v>2.6389530000000003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56496063" right="0.31496062992126" top="0.551181102362205" bottom="0.551181102362205" header="0.31496062992126" footer="0.31496062992126"/>
  <pageSetup fitToHeight="1" fitToWidth="1" horizontalDpi="600" verticalDpi="600" orientation="landscape" paperSize="9" scale="2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5">
      <selection activeCell="X7" sqref="X7:X16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6" customWidth="1"/>
    <col min="11" max="11" width="29.00390625" style="46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126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83"/>
      <c r="K4" s="83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127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101" t="s">
        <v>4</v>
      </c>
      <c r="K5" s="101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101"/>
      <c r="K6" s="101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0.386096</v>
      </c>
      <c r="F7" s="58" t="s">
        <v>81</v>
      </c>
      <c r="G7" s="58">
        <v>1.0178208</v>
      </c>
      <c r="H7" s="58" t="s">
        <v>51</v>
      </c>
      <c r="I7" s="60">
        <f aca="true" t="shared" si="0" ref="I7:I26">SUM(E7:H7)</f>
        <v>1.4039168</v>
      </c>
      <c r="J7" s="58">
        <v>20.356685600000002</v>
      </c>
      <c r="K7" s="58">
        <v>20.356685600000002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(W7+'01'!W7+'02'!W7+'03'!W7+'04'!W7+'05'!W7+'06'!W7+'07'!W7+'08'!W7+'09'!W7+'10'!W7+'11'!W7+'12'!W7+'13'!W7+'14'!W7+'15'!W7+'16'!W7)/17</f>
        <v>44.28137651821862</v>
      </c>
      <c r="Y7" s="59">
        <v>0.345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0.17658</v>
      </c>
      <c r="F8" s="58" t="s">
        <v>56</v>
      </c>
      <c r="G8" s="58">
        <v>0.55634</v>
      </c>
      <c r="H8" s="58" t="s">
        <v>56</v>
      </c>
      <c r="I8" s="60">
        <f t="shared" si="0"/>
        <v>0.7329199999999999</v>
      </c>
      <c r="J8" s="58">
        <v>10.712144</v>
      </c>
      <c r="K8" s="58">
        <v>10.712144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53</v>
      </c>
      <c r="W8" s="62">
        <f>(10000*V8)/(120*99)</f>
        <v>44.612794612794616</v>
      </c>
      <c r="X8" s="62">
        <f>(W8+'01'!W8+'02'!W8+'03'!W8+'04'!W8+'05'!W8+'06'!W8+'07'!W8+'08'!W8+'09'!W8+'10'!W8+'11'!W8+'12'!W8+'13'!W8+'14'!W8+'15'!W8+'16'!W8)/17</f>
        <v>45.157456922162815</v>
      </c>
      <c r="Y8" s="59">
        <v>0.18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0.116</v>
      </c>
      <c r="G9" s="58">
        <v>0.127</v>
      </c>
      <c r="H9" s="64"/>
      <c r="I9" s="60">
        <f t="shared" si="0"/>
        <v>0.243</v>
      </c>
      <c r="J9" s="58">
        <v>3.8629000000000002</v>
      </c>
      <c r="K9" s="58">
        <v>3.8629000000000002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</v>
      </c>
      <c r="W9" s="62">
        <f>(10000*V9)/(33.75*99.3)</f>
        <v>53.70929842228936</v>
      </c>
      <c r="X9" s="62">
        <f>(W9+'01'!W9+'02'!W9+'03'!W9+'04'!W9+'05'!W9+'06'!W9+'07'!W9+'08'!W9+'09'!W9+'10'!W9+'11'!W9+'12'!W9+'13'!W9+'14'!W9+'15'!W9+'16'!W9)/17</f>
        <v>55.113463086924384</v>
      </c>
      <c r="Y9" s="59">
        <v>0.05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>
        <v>0.13009</v>
      </c>
      <c r="F10" s="58">
        <v>0.24792</v>
      </c>
      <c r="G10" s="59" t="s">
        <v>81</v>
      </c>
      <c r="H10" s="64"/>
      <c r="I10" s="60">
        <f t="shared" si="0"/>
        <v>0.37801</v>
      </c>
      <c r="J10" s="58">
        <v>6.32457</v>
      </c>
      <c r="K10" s="58">
        <v>6.32457</v>
      </c>
      <c r="L10" s="60"/>
      <c r="M10" s="60"/>
      <c r="N10" s="60"/>
      <c r="O10" s="59">
        <v>0.00987</v>
      </c>
      <c r="P10" s="59"/>
      <c r="Q10" s="59"/>
      <c r="R10" s="59"/>
      <c r="S10" s="59"/>
      <c r="T10" s="59"/>
      <c r="U10" s="60">
        <f t="shared" si="1"/>
        <v>0.00987</v>
      </c>
      <c r="V10" s="62">
        <v>32.5</v>
      </c>
      <c r="W10" s="62">
        <f>(10000*V10)/(51*99.3)</f>
        <v>64.1747131883972</v>
      </c>
      <c r="X10" s="62">
        <f>(W10+'01'!W10+'02'!W10+'03'!W10+'04'!W10+'05'!W10+'06'!W10+'07'!W10+'08'!W10+'09'!W10+'10'!W10+'11'!W10+'12'!W10+'13'!W10+'14'!W10+'15'!W10+'16'!W10)/17</f>
        <v>64.17471318839719</v>
      </c>
      <c r="Y10" s="59">
        <v>0.106</v>
      </c>
      <c r="Z10" s="63" t="s">
        <v>128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0.09354</v>
      </c>
      <c r="F11" s="59" t="s">
        <v>51</v>
      </c>
      <c r="G11" s="59">
        <v>0.18642</v>
      </c>
      <c r="H11" s="64" t="s">
        <v>49</v>
      </c>
      <c r="I11" s="60">
        <f>SUM(E11:H11)</f>
        <v>0.27996</v>
      </c>
      <c r="J11" s="58">
        <v>4.438020000000001</v>
      </c>
      <c r="K11" s="58">
        <v>4.438020000000001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(W11+'01'!W11+'02'!W11+'03'!W11+'04'!W11+'05'!W11+'06'!W11+'07'!W11+'08'!W11+'09'!W11+'10'!W11+'11'!W11+'12'!W11+'13'!W11+'14'!W11+'15'!W11+'16'!W11)/17</f>
        <v>67.13662302786169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0.325833</v>
      </c>
      <c r="F12" s="58">
        <v>0.657198</v>
      </c>
      <c r="G12" s="58" t="s">
        <v>51</v>
      </c>
      <c r="H12" s="64"/>
      <c r="I12" s="60">
        <f t="shared" si="0"/>
        <v>0.983031</v>
      </c>
      <c r="J12" s="58">
        <v>12.896393000000002</v>
      </c>
      <c r="K12" s="58">
        <v>12.896393000000002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(W12+'01'!W12+'02'!W12+'03'!W12+'04'!W12+'05'!W12+'06'!W12+'07'!W12+'08'!W12+'09'!W12+'10'!W12+'11'!W12+'12'!W12+'13'!W12+'14'!W12+'15'!W12+'16'!W12)/17</f>
        <v>73.12626292544543</v>
      </c>
      <c r="Y12" s="59">
        <v>0.208</v>
      </c>
      <c r="Z12" s="63" t="s">
        <v>93</v>
      </c>
    </row>
    <row r="13" spans="1:26" s="46" customFormat="1" ht="64.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0.256</v>
      </c>
      <c r="F13" s="58" t="s">
        <v>51</v>
      </c>
      <c r="G13" s="58">
        <v>0.253</v>
      </c>
      <c r="H13" s="58">
        <v>1.5</v>
      </c>
      <c r="I13" s="60">
        <f t="shared" si="0"/>
        <v>2.009</v>
      </c>
      <c r="J13" s="58">
        <v>31.285999999999998</v>
      </c>
      <c r="K13" s="58">
        <v>31.285999999999998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(W13+'01'!W13+'02'!W13+'03'!W13+'04'!W13+'05'!W13+'06'!W13+'07'!W13+'08'!W13+'09'!W13+'10'!W13+'11'!W13+'12'!W13+'13'!W13+'14'!W13+'15'!W13+'16'!W13)/17</f>
        <v>72.12215029552489</v>
      </c>
      <c r="Y13" s="59">
        <v>0.685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0.659</v>
      </c>
      <c r="F14" s="58">
        <v>0.645</v>
      </c>
      <c r="G14" s="58" t="s">
        <v>51</v>
      </c>
      <c r="H14" s="58">
        <v>0.586</v>
      </c>
      <c r="I14" s="60">
        <f t="shared" si="0"/>
        <v>1.8900000000000001</v>
      </c>
      <c r="J14" s="58">
        <v>32.959</v>
      </c>
      <c r="K14" s="58">
        <v>32.959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87</v>
      </c>
      <c r="W14" s="62">
        <f>(10000*V14)/(144*99)</f>
        <v>61.02693602693603</v>
      </c>
      <c r="X14" s="62">
        <f>(W14+'01'!W14+'02'!W14+'03'!W14+'04'!W14+'05'!W14+'06'!W14+'07'!W14+'08'!W14+'09'!W14+'10'!W14+'11'!W14+'12'!W14+'13'!W14+'14'!W14+'15'!W14+'16'!W14)/17</f>
        <v>64.9881164587047</v>
      </c>
      <c r="Y14" s="59">
        <v>0.284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>
        <v>0.734</v>
      </c>
      <c r="G15" s="59" t="s">
        <v>56</v>
      </c>
      <c r="H15" s="64"/>
      <c r="I15" s="60">
        <f t="shared" si="0"/>
        <v>0.734</v>
      </c>
      <c r="J15" s="58">
        <v>2.3</v>
      </c>
      <c r="K15" s="58">
        <v>2.3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31</v>
      </c>
      <c r="W15" s="62">
        <f>(10000*V15)/(198*99.3)</f>
        <v>15.76693419593722</v>
      </c>
      <c r="X15" s="62">
        <f>(W15+'01'!W15+'02'!W15+'03'!W15+'04'!W15+'05'!W15+'06'!W15+'07'!W15+'08'!W15+'09'!W15+'10'!W15+'11'!W15+'12'!W15+'13'!W15+'14'!W15+'15'!W15+'16'!W15)/17</f>
        <v>2.9020732770510627</v>
      </c>
      <c r="Y15" s="59">
        <v>0.322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 t="s">
        <v>56</v>
      </c>
      <c r="F16" s="59">
        <v>0.253</v>
      </c>
      <c r="G16" s="59">
        <v>0.152</v>
      </c>
      <c r="H16" s="64"/>
      <c r="I16" s="60">
        <f t="shared" si="0"/>
        <v>0.405</v>
      </c>
      <c r="J16" s="58">
        <v>6.373</v>
      </c>
      <c r="K16" s="58">
        <v>6.373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>
        <f>(W16+'01'!W16+'02'!W16+'03'!W16+'04'!W16+'05'!W16+'06'!W16+'07'!W16+'08'!W16+'09'!W16+'10'!W16+'11'!W16+'12'!W16+'13'!W16+'14'!W16+'15'!W16+'16'!W16)/17</f>
        <v>70.32530476690752</v>
      </c>
      <c r="Y16" s="59">
        <v>0.116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0.127138</v>
      </c>
      <c r="F17" s="59">
        <v>0.122157</v>
      </c>
      <c r="G17" s="59">
        <v>0.122271</v>
      </c>
      <c r="H17" s="64"/>
      <c r="I17" s="60">
        <f t="shared" si="0"/>
        <v>0.371566</v>
      </c>
      <c r="J17" s="58">
        <v>5.241108</v>
      </c>
      <c r="K17" s="58">
        <v>5.241108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16</v>
      </c>
      <c r="W17" s="62"/>
      <c r="X17" s="62"/>
      <c r="Y17" s="59">
        <v>0.059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0.0544</v>
      </c>
      <c r="F18" s="58">
        <v>0.029</v>
      </c>
      <c r="G18" s="58">
        <v>0.0588</v>
      </c>
      <c r="H18" s="64"/>
      <c r="I18" s="60">
        <f t="shared" si="0"/>
        <v>0.1422</v>
      </c>
      <c r="J18" s="58">
        <v>2.300738</v>
      </c>
      <c r="K18" s="58">
        <v>2.300738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6.1</v>
      </c>
      <c r="W18" s="62"/>
      <c r="X18" s="62"/>
      <c r="Y18" s="59">
        <v>0.03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0.1566</v>
      </c>
      <c r="I19" s="60">
        <f t="shared" si="0"/>
        <v>0.1566</v>
      </c>
      <c r="J19" s="58">
        <v>0.40187</v>
      </c>
      <c r="K19" s="58">
        <v>0.40187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121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0.00166</v>
      </c>
      <c r="F20" s="58">
        <v>0.00171</v>
      </c>
      <c r="G20" s="64"/>
      <c r="H20" s="64"/>
      <c r="I20" s="60">
        <f t="shared" si="0"/>
        <v>0.0033699999999999997</v>
      </c>
      <c r="J20" s="58">
        <v>0.08343000000000002</v>
      </c>
      <c r="K20" s="58">
        <v>0.08343000000000002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0.6</v>
      </c>
      <c r="W20" s="60"/>
      <c r="X20" s="62"/>
      <c r="Y20" s="59">
        <v>0.001653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0.015</v>
      </c>
      <c r="F21" s="59">
        <v>0.017</v>
      </c>
      <c r="G21" s="64"/>
      <c r="H21" s="64"/>
      <c r="I21" s="60">
        <f t="shared" si="0"/>
        <v>0.032</v>
      </c>
      <c r="J21" s="58">
        <v>0.5240000000000001</v>
      </c>
      <c r="K21" s="58">
        <v>0.5240000000000001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1.44</v>
      </c>
      <c r="W21" s="60"/>
      <c r="X21" s="62"/>
      <c r="Y21" s="59">
        <v>0.00834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>
        <v>0.009597</v>
      </c>
      <c r="F22" s="59">
        <v>0.021417</v>
      </c>
      <c r="G22" s="64"/>
      <c r="H22" s="64"/>
      <c r="I22" s="60">
        <f t="shared" si="0"/>
        <v>0.031014</v>
      </c>
      <c r="J22" s="58">
        <v>0.079569</v>
      </c>
      <c r="K22" s="58">
        <v>0.079569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1.2</v>
      </c>
      <c r="W22" s="60"/>
      <c r="X22" s="62"/>
      <c r="Y22" s="59">
        <v>0.0036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0.027485</v>
      </c>
      <c r="F23" s="59" t="s">
        <v>56</v>
      </c>
      <c r="G23" s="64"/>
      <c r="H23" s="64" t="s">
        <v>49</v>
      </c>
      <c r="I23" s="60">
        <f t="shared" si="0"/>
        <v>0.027485</v>
      </c>
      <c r="J23" s="58">
        <v>0.36219900000000005</v>
      </c>
      <c r="K23" s="58">
        <v>0.36219900000000005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1.5</v>
      </c>
      <c r="W23" s="60"/>
      <c r="X23" s="62"/>
      <c r="Y23" s="59">
        <v>0.0067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>
        <v>0.0738</v>
      </c>
      <c r="F24" s="59" t="s">
        <v>56</v>
      </c>
      <c r="G24" s="64"/>
      <c r="H24" s="64"/>
      <c r="I24" s="60">
        <f t="shared" si="0"/>
        <v>0.0738</v>
      </c>
      <c r="J24" s="58">
        <v>3.7422999999999997</v>
      </c>
      <c r="K24" s="58">
        <v>3.7422999999999997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0.06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0.045883</v>
      </c>
      <c r="F25" s="59" t="s">
        <v>56</v>
      </c>
      <c r="G25" s="64"/>
      <c r="H25" s="64"/>
      <c r="I25" s="60">
        <f t="shared" si="0"/>
        <v>0.045883</v>
      </c>
      <c r="J25" s="58">
        <v>0.696791</v>
      </c>
      <c r="K25" s="58">
        <v>0.696791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2.1</v>
      </c>
      <c r="W25" s="59"/>
      <c r="X25" s="62"/>
      <c r="Y25" s="59">
        <v>0.0121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8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9.9427558</v>
      </c>
      <c r="J27" s="61">
        <f>SUM(J7:J26)</f>
        <v>144.94071759999997</v>
      </c>
      <c r="K27" s="61">
        <f>SUM(K7:K26)</f>
        <v>144.94071759999997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0.00987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0.00987</v>
      </c>
      <c r="V27" s="78">
        <f t="shared" si="2"/>
        <v>762.1400000000002</v>
      </c>
      <c r="W27" s="60"/>
      <c r="X27" s="60"/>
      <c r="Y27" s="60">
        <f>SUM(Y7:Y26)</f>
        <v>2.5294930000000004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84"/>
      <c r="K31" s="84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85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86"/>
      <c r="K34" s="87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C33:Z33"/>
    <mergeCell ref="B28:Z28"/>
    <mergeCell ref="A29:Z29"/>
    <mergeCell ref="A30:B30"/>
    <mergeCell ref="C30:Z30"/>
    <mergeCell ref="C31:E31"/>
    <mergeCell ref="C32:J32"/>
    <mergeCell ref="V5:V6"/>
    <mergeCell ref="W5:W6"/>
    <mergeCell ref="X5:X6"/>
    <mergeCell ref="Y5:Y6"/>
    <mergeCell ref="Z5:Z6"/>
    <mergeCell ref="A27:B27"/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</mergeCells>
  <printOptions/>
  <pageMargins left="0.81496063" right="0.31496062992126" top="0.551181102362205" bottom="0.551181102362205" header="0.31496062992126" footer="0.31496062992126"/>
  <pageSetup fitToHeight="1" fitToWidth="1" horizontalDpi="600" verticalDpi="600" orientation="landscape" paperSize="9" scale="2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5">
      <selection activeCell="X7" sqref="X7:X16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6" customWidth="1"/>
    <col min="11" max="11" width="29.00390625" style="46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131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83"/>
      <c r="K4" s="83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132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101" t="s">
        <v>4</v>
      </c>
      <c r="K5" s="101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101"/>
      <c r="K6" s="101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0.536176</v>
      </c>
      <c r="F7" s="58" t="s">
        <v>81</v>
      </c>
      <c r="G7" s="58">
        <v>0.7141392</v>
      </c>
      <c r="H7" s="58" t="s">
        <v>51</v>
      </c>
      <c r="I7" s="60">
        <f aca="true" t="shared" si="0" ref="I7:I26">SUM(E7:H7)</f>
        <v>1.2503152</v>
      </c>
      <c r="J7" s="58">
        <v>21.606685600000002</v>
      </c>
      <c r="K7" s="58">
        <v>21.606685600000002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(W7+'01'!W7+'02'!W7+'03'!W7+'04'!W7+'05'!W7+'06'!W7+'07'!W7+'08'!W7+'09'!W7+'10'!W7+'11'!W7+'12'!W7+'13'!W7+'14'!W7+'15'!W7+'16'!W7+'17'!W7)/18</f>
        <v>44.28137651821862</v>
      </c>
      <c r="Y7" s="59">
        <v>0.35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0.28068</v>
      </c>
      <c r="F8" s="58" t="s">
        <v>56</v>
      </c>
      <c r="G8" s="58">
        <v>0.36184</v>
      </c>
      <c r="H8" s="58" t="s">
        <v>56</v>
      </c>
      <c r="I8" s="60">
        <f t="shared" si="0"/>
        <v>0.64252</v>
      </c>
      <c r="J8" s="58">
        <v>11.354664</v>
      </c>
      <c r="K8" s="58">
        <v>11.354664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53</v>
      </c>
      <c r="W8" s="62">
        <f>(10000*V8)/(120*99)</f>
        <v>44.612794612794616</v>
      </c>
      <c r="X8" s="62">
        <f>(W8+'01'!W8+'02'!W8+'03'!W8+'04'!W8+'05'!W8+'06'!W8+'07'!W8+'08'!W8+'09'!W8+'10'!W8+'11'!W8+'12'!W8+'13'!W8+'14'!W8+'15'!W8+'16'!W8+'17'!W8)/18</f>
        <v>45.127197904975695</v>
      </c>
      <c r="Y8" s="59">
        <v>0.182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0.1333</v>
      </c>
      <c r="G9" s="58">
        <v>0.0942</v>
      </c>
      <c r="H9" s="64"/>
      <c r="I9" s="60">
        <f t="shared" si="0"/>
        <v>0.2275</v>
      </c>
      <c r="J9" s="58">
        <v>4.0904</v>
      </c>
      <c r="K9" s="58">
        <v>4.0904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(W9+'01'!W9+'02'!W9+'03'!W9+'04'!W9+'05'!W9+'06'!W9+'07'!W9+'08'!W9+'09'!W9+'10'!W9+'11'!W9+'12'!W9+'13'!W9+'14'!W9+'15'!W9+'16'!W9+'17'!W9)/18</f>
        <v>55.11833865867659</v>
      </c>
      <c r="Y9" s="59">
        <v>0.056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>
        <v>0.16332</v>
      </c>
      <c r="F10" s="58">
        <v>0.2274</v>
      </c>
      <c r="G10" s="59" t="s">
        <v>81</v>
      </c>
      <c r="H10" s="64"/>
      <c r="I10" s="60">
        <f t="shared" si="0"/>
        <v>0.39071999999999996</v>
      </c>
      <c r="J10" s="58">
        <v>6.7152899999999995</v>
      </c>
      <c r="K10" s="58">
        <v>6.7152899999999995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(W10+'01'!W10+'02'!W10+'03'!W10+'04'!W10+'05'!W10+'06'!W10+'07'!W10+'08'!W10+'09'!W10+'10'!W10+'11'!W10+'12'!W10+'13'!W10+'14'!W10+'15'!W10+'16'!W10+'17'!W10)/18</f>
        <v>64.17471318839719</v>
      </c>
      <c r="Y10" s="59">
        <v>0.105</v>
      </c>
      <c r="Z10" s="63" t="s">
        <v>134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0.0939</v>
      </c>
      <c r="F11" s="59" t="s">
        <v>51</v>
      </c>
      <c r="G11" s="59">
        <v>0.17478</v>
      </c>
      <c r="H11" s="64" t="s">
        <v>49</v>
      </c>
      <c r="I11" s="60">
        <f>SUM(E11:H11)</f>
        <v>0.26868</v>
      </c>
      <c r="J11" s="58">
        <v>4.7067000000000005</v>
      </c>
      <c r="K11" s="58">
        <v>4.7067000000000005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(W11+'01'!W11+'02'!W11+'03'!W11+'04'!W11+'05'!W11+'06'!W11+'07'!W11+'08'!W11+'09'!W11+'10'!W11+'11'!W11+'12'!W11+'13'!W11+'14'!W11+'15'!W11+'16'!W11+'17'!W11)/18</f>
        <v>67.1366230278617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0.582245</v>
      </c>
      <c r="F12" s="58">
        <v>0.583905</v>
      </c>
      <c r="G12" s="58" t="s">
        <v>51</v>
      </c>
      <c r="H12" s="64"/>
      <c r="I12" s="60">
        <f t="shared" si="0"/>
        <v>1.16615</v>
      </c>
      <c r="J12" s="58">
        <v>14.062543000000002</v>
      </c>
      <c r="K12" s="58">
        <v>14.062543000000002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(W12+'01'!W12+'02'!W12+'03'!W12+'04'!W12+'05'!W12+'06'!W12+'07'!W12+'08'!W12+'09'!W12+'10'!W12+'11'!W12+'12'!W12+'13'!W12+'14'!W12+'15'!W12+'16'!W12+'17'!W12)/18</f>
        <v>73.29081347208233</v>
      </c>
      <c r="Y12" s="59">
        <v>0.21</v>
      </c>
      <c r="Z12" s="63" t="s">
        <v>93</v>
      </c>
    </row>
    <row r="13" spans="1:26" s="46" customFormat="1" ht="64.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0.553</v>
      </c>
      <c r="F13" s="58" t="s">
        <v>51</v>
      </c>
      <c r="G13" s="58">
        <v>0.268</v>
      </c>
      <c r="H13" s="58">
        <v>1.542</v>
      </c>
      <c r="I13" s="60">
        <f t="shared" si="0"/>
        <v>2.363</v>
      </c>
      <c r="J13" s="58">
        <v>33.649</v>
      </c>
      <c r="K13" s="58">
        <v>33.649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(W13+'01'!W13+'02'!W13+'03'!W13+'04'!W13+'05'!W13+'06'!W13+'07'!W13+'08'!W13+'09'!W13+'10'!W13+'11'!W13+'12'!W13+'13'!W13+'14'!W13+'15'!W13+'16'!W13+'17'!W13)/18</f>
        <v>72.34257782503396</v>
      </c>
      <c r="Y13" s="59">
        <v>0.684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0.664</v>
      </c>
      <c r="F14" s="58">
        <v>0.657</v>
      </c>
      <c r="G14" s="58" t="s">
        <v>51</v>
      </c>
      <c r="H14" s="58">
        <v>0.614</v>
      </c>
      <c r="I14" s="60">
        <f t="shared" si="0"/>
        <v>1.935</v>
      </c>
      <c r="J14" s="58">
        <v>34.894000000000005</v>
      </c>
      <c r="K14" s="58">
        <v>34.894000000000005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92</v>
      </c>
      <c r="W14" s="62">
        <f>(10000*V14)/(144*99)</f>
        <v>64.53423120089786</v>
      </c>
      <c r="X14" s="62">
        <f>(W14+'01'!W14+'02'!W14+'03'!W14+'04'!W14+'05'!W14+'06'!W14+'07'!W14+'08'!W14+'09'!W14+'10'!W14+'11'!W14+'12'!W14+'13'!W14+'14'!W14+'15'!W14+'16'!W14+'17'!W14)/18</f>
        <v>64.96290061104877</v>
      </c>
      <c r="Y14" s="59">
        <v>0.298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>
        <v>0.734</v>
      </c>
      <c r="G15" s="59" t="s">
        <v>56</v>
      </c>
      <c r="H15" s="64"/>
      <c r="I15" s="60">
        <f t="shared" si="0"/>
        <v>0.734</v>
      </c>
      <c r="J15" s="58">
        <v>3.034</v>
      </c>
      <c r="K15" s="58">
        <v>3.034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31</v>
      </c>
      <c r="W15" s="62">
        <f>(10000*V15)/(198*99.3)</f>
        <v>15.76693419593722</v>
      </c>
      <c r="X15" s="62">
        <f>(W15+'01'!W15+'02'!W15+'03'!W15+'04'!W15+'05'!W15+'06'!W15+'07'!W15+'08'!W15+'09'!W15+'10'!W15+'11'!W15+'12'!W15+'13'!W15+'14'!W15+'15'!W15+'16'!W15+'17'!W15)/18</f>
        <v>3.616787772544738</v>
      </c>
      <c r="Y15" s="59">
        <v>0.32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 t="s">
        <v>56</v>
      </c>
      <c r="F16" s="59">
        <v>0.234</v>
      </c>
      <c r="G16" s="59">
        <v>0.188</v>
      </c>
      <c r="H16" s="64"/>
      <c r="I16" s="60">
        <f t="shared" si="0"/>
        <v>0.42200000000000004</v>
      </c>
      <c r="J16" s="58">
        <v>6.795</v>
      </c>
      <c r="K16" s="58">
        <v>6.795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>
        <f>(W16+'01'!W16+'02'!W16+'03'!W16+'04'!W16+'05'!W16+'06'!W16+'07'!W16+'08'!W16+'09'!W16+'10'!W16+'11'!W16+'12'!W16+'13'!W16+'14'!W16+'15'!W16+'16'!W16+'17'!W16)/18</f>
        <v>70.34922493859693</v>
      </c>
      <c r="Y16" s="59">
        <v>0.12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0.122392</v>
      </c>
      <c r="F17" s="59">
        <v>0.122525</v>
      </c>
      <c r="G17" s="59">
        <v>0.120673</v>
      </c>
      <c r="H17" s="64"/>
      <c r="I17" s="60">
        <f t="shared" si="0"/>
        <v>0.36558999999999997</v>
      </c>
      <c r="J17" s="58">
        <v>5.606698</v>
      </c>
      <c r="K17" s="58">
        <v>5.606698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18.8</v>
      </c>
      <c r="W17" s="62"/>
      <c r="X17" s="62"/>
      <c r="Y17" s="59">
        <v>0.058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0.05493</v>
      </c>
      <c r="F18" s="58">
        <v>0.04295</v>
      </c>
      <c r="G18" s="58">
        <v>0.055962</v>
      </c>
      <c r="H18" s="64"/>
      <c r="I18" s="60">
        <f t="shared" si="0"/>
        <v>0.15384199999999998</v>
      </c>
      <c r="J18" s="58">
        <v>2.45458</v>
      </c>
      <c r="K18" s="58">
        <v>2.45458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7.1</v>
      </c>
      <c r="W18" s="62"/>
      <c r="X18" s="62"/>
      <c r="Y18" s="59">
        <v>0.03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>
        <v>0.00024</v>
      </c>
      <c r="F19" s="65" t="s">
        <v>56</v>
      </c>
      <c r="G19" s="58" t="s">
        <v>56</v>
      </c>
      <c r="H19" s="58">
        <v>0.01536</v>
      </c>
      <c r="I19" s="60">
        <f t="shared" si="0"/>
        <v>0.015600000000000001</v>
      </c>
      <c r="J19" s="58">
        <v>0.41747</v>
      </c>
      <c r="K19" s="58">
        <v>0.41747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121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0.00101</v>
      </c>
      <c r="F20" s="58" t="s">
        <v>56</v>
      </c>
      <c r="G20" s="64"/>
      <c r="H20" s="64"/>
      <c r="I20" s="60">
        <f t="shared" si="0"/>
        <v>0.00101</v>
      </c>
      <c r="J20" s="58">
        <v>0.08472000000000002</v>
      </c>
      <c r="K20" s="58">
        <v>0.08472000000000002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0.6</v>
      </c>
      <c r="W20" s="60"/>
      <c r="X20" s="62"/>
      <c r="Y20" s="59">
        <v>0.001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0.016</v>
      </c>
      <c r="F21" s="59">
        <v>0.018</v>
      </c>
      <c r="G21" s="64"/>
      <c r="H21" s="64"/>
      <c r="I21" s="60">
        <f t="shared" si="0"/>
        <v>0.034</v>
      </c>
      <c r="J21" s="58">
        <v>0.5580000000000002</v>
      </c>
      <c r="K21" s="58">
        <v>0.5580000000000002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1.74</v>
      </c>
      <c r="W21" s="60"/>
      <c r="X21" s="62"/>
      <c r="Y21" s="59">
        <v>0.008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>
        <v>0.01049</v>
      </c>
      <c r="F22" s="59">
        <v>0.025312</v>
      </c>
      <c r="G22" s="64"/>
      <c r="H22" s="64"/>
      <c r="I22" s="60">
        <f t="shared" si="0"/>
        <v>0.035802</v>
      </c>
      <c r="J22" s="58">
        <v>0.115371</v>
      </c>
      <c r="K22" s="58">
        <v>0.115371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1.8</v>
      </c>
      <c r="W22" s="60"/>
      <c r="X22" s="62"/>
      <c r="Y22" s="59">
        <v>0.005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0.033932</v>
      </c>
      <c r="F23" s="59" t="s">
        <v>56</v>
      </c>
      <c r="G23" s="64"/>
      <c r="H23" s="64" t="s">
        <v>49</v>
      </c>
      <c r="I23" s="60">
        <f t="shared" si="0"/>
        <v>0.033932</v>
      </c>
      <c r="J23" s="58">
        <v>0.39613100000000007</v>
      </c>
      <c r="K23" s="58">
        <v>0.39613100000000007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1.5</v>
      </c>
      <c r="W23" s="60"/>
      <c r="X23" s="62"/>
      <c r="Y23" s="59">
        <v>0.0067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>
        <v>0.2391</v>
      </c>
      <c r="F24" s="59">
        <v>0.0611</v>
      </c>
      <c r="G24" s="64"/>
      <c r="H24" s="64"/>
      <c r="I24" s="60">
        <f t="shared" si="0"/>
        <v>0.3002</v>
      </c>
      <c r="J24" s="58">
        <v>4.0424999999999995</v>
      </c>
      <c r="K24" s="58">
        <v>4.0424999999999995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0.18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0.036559</v>
      </c>
      <c r="F25" s="59" t="s">
        <v>56</v>
      </c>
      <c r="G25" s="64"/>
      <c r="H25" s="64"/>
      <c r="I25" s="60">
        <f t="shared" si="0"/>
        <v>0.036559</v>
      </c>
      <c r="J25" s="58">
        <v>0.7333500000000001</v>
      </c>
      <c r="K25" s="58">
        <v>0.7333500000000001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2.05</v>
      </c>
      <c r="W25" s="59"/>
      <c r="X25" s="62"/>
      <c r="Y25" s="59">
        <v>0.012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8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10.3764202</v>
      </c>
      <c r="J27" s="61">
        <f>SUM(J7:J26)</f>
        <v>155.31710259999997</v>
      </c>
      <c r="K27" s="61">
        <f>SUM(K7:K26)</f>
        <v>155.31710259999997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772.29</v>
      </c>
      <c r="W27" s="60"/>
      <c r="X27" s="60"/>
      <c r="Y27" s="60">
        <f>SUM(Y7:Y26)</f>
        <v>2.6777999999999995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84"/>
      <c r="K31" s="84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85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86"/>
      <c r="K34" s="87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Z16" sqref="Z16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91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92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1.14344</v>
      </c>
      <c r="F7" s="58" t="s">
        <v>81</v>
      </c>
      <c r="G7" s="58">
        <v>0.339696</v>
      </c>
      <c r="H7" s="58" t="s">
        <v>51</v>
      </c>
      <c r="I7" s="60">
        <f aca="true" t="shared" si="0" ref="I7:I26">SUM(E7:H7)</f>
        <v>1.483136</v>
      </c>
      <c r="J7" s="58">
        <v>1.483136</v>
      </c>
      <c r="K7" s="58">
        <v>1.483136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(W7)/1</f>
        <v>44.28137651821862</v>
      </c>
      <c r="Y7" s="59">
        <v>0.34464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 t="s">
        <v>56</v>
      </c>
      <c r="F8" s="58">
        <v>0.61408</v>
      </c>
      <c r="G8" s="58">
        <v>0.17662</v>
      </c>
      <c r="H8" s="58" t="s">
        <v>56</v>
      </c>
      <c r="I8" s="60">
        <f t="shared" si="0"/>
        <v>0.7907</v>
      </c>
      <c r="J8" s="58">
        <v>0.7907</v>
      </c>
      <c r="K8" s="58">
        <v>0.7907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53</v>
      </c>
      <c r="W8" s="62">
        <f>(10000*V8)/(120*99)</f>
        <v>44.612794612794616</v>
      </c>
      <c r="X8" s="62">
        <f aca="true" t="shared" si="2" ref="X8:X16">(W8)/1</f>
        <v>44.612794612794616</v>
      </c>
      <c r="Y8" s="59">
        <v>0.28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0.11</v>
      </c>
      <c r="G9" s="58">
        <v>0.185</v>
      </c>
      <c r="H9" s="64"/>
      <c r="I9" s="60">
        <f t="shared" si="0"/>
        <v>0.295</v>
      </c>
      <c r="J9" s="59">
        <v>0.295</v>
      </c>
      <c r="K9" s="59">
        <v>0.295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 t="shared" si="2"/>
        <v>55.201223378464064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0.17484</v>
      </c>
      <c r="G10" s="59">
        <v>0.30804</v>
      </c>
      <c r="H10" s="64"/>
      <c r="I10" s="60">
        <f t="shared" si="0"/>
        <v>0.48288</v>
      </c>
      <c r="J10" s="59">
        <v>0.48288</v>
      </c>
      <c r="K10" s="59">
        <v>0.48288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 t="shared" si="2"/>
        <v>64.1747131883972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 t="s">
        <v>51</v>
      </c>
      <c r="F11" s="59">
        <v>0.21462</v>
      </c>
      <c r="G11" s="59">
        <v>0.10506</v>
      </c>
      <c r="H11" s="64" t="s">
        <v>49</v>
      </c>
      <c r="I11" s="60">
        <f>SUM(E11:H11)</f>
        <v>0.31968</v>
      </c>
      <c r="J11" s="59">
        <v>0.31968</v>
      </c>
      <c r="K11" s="59">
        <v>0.31968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 t="shared" si="2"/>
        <v>67.1366230278617</v>
      </c>
      <c r="Y11" s="59">
        <v>0.05</v>
      </c>
      <c r="Z11" s="63" t="s">
        <v>83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0.062614</v>
      </c>
      <c r="F12" s="58">
        <v>0.122802</v>
      </c>
      <c r="G12" s="58" t="s">
        <v>51</v>
      </c>
      <c r="H12" s="64"/>
      <c r="I12" s="60">
        <f t="shared" si="0"/>
        <v>0.185416</v>
      </c>
      <c r="J12" s="58">
        <v>0.185416</v>
      </c>
      <c r="K12" s="58">
        <v>0.185416</v>
      </c>
      <c r="L12" s="61"/>
      <c r="M12" s="61"/>
      <c r="N12" s="61"/>
      <c r="O12" s="59"/>
      <c r="P12" s="59"/>
      <c r="Q12" s="59"/>
      <c r="R12" s="59"/>
      <c r="S12" s="59"/>
      <c r="T12" s="59">
        <v>0.172224</v>
      </c>
      <c r="U12" s="60">
        <f>SUM(O12:T12)</f>
        <v>0.172224</v>
      </c>
      <c r="V12" s="62">
        <v>23</v>
      </c>
      <c r="W12" s="62">
        <f>(10000*V12)/(90*99.3)</f>
        <v>25.73570549401365</v>
      </c>
      <c r="X12" s="62">
        <f t="shared" si="2"/>
        <v>25.73570549401365</v>
      </c>
      <c r="Y12" s="59">
        <v>0.172224</v>
      </c>
      <c r="Z12" s="63" t="s">
        <v>93</v>
      </c>
    </row>
    <row r="13" spans="1:26" s="46" customFormat="1" ht="60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0.637</v>
      </c>
      <c r="F13" s="58" t="s">
        <v>51</v>
      </c>
      <c r="G13" s="58">
        <v>0.973</v>
      </c>
      <c r="H13" s="58" t="s">
        <v>51</v>
      </c>
      <c r="I13" s="60">
        <f t="shared" si="0"/>
        <v>1.6099999999999999</v>
      </c>
      <c r="J13" s="58">
        <v>1.6099999999999999</v>
      </c>
      <c r="K13" s="58">
        <v>1.6099999999999999</v>
      </c>
      <c r="L13" s="61"/>
      <c r="M13" s="61"/>
      <c r="N13" s="61"/>
      <c r="O13" s="59"/>
      <c r="P13" s="59"/>
      <c r="Q13" s="59"/>
      <c r="R13" s="59"/>
      <c r="S13" s="59"/>
      <c r="T13" s="59"/>
      <c r="U13" s="60">
        <f>SUM(O13:T13)</f>
        <v>0</v>
      </c>
      <c r="V13" s="62">
        <v>152</v>
      </c>
      <c r="W13" s="62">
        <f>(10000*V13)/(304*99)</f>
        <v>50.505050505050505</v>
      </c>
      <c r="X13" s="62">
        <f t="shared" si="2"/>
        <v>50.505050505050505</v>
      </c>
      <c r="Y13" s="59">
        <v>0.455</v>
      </c>
      <c r="Z13" s="63" t="s">
        <v>86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0.765</v>
      </c>
      <c r="F14" s="58">
        <v>0.794</v>
      </c>
      <c r="G14" s="58" t="s">
        <v>51</v>
      </c>
      <c r="H14" s="58">
        <v>0.594</v>
      </c>
      <c r="I14" s="60">
        <f t="shared" si="0"/>
        <v>2.153</v>
      </c>
      <c r="J14" s="58">
        <v>2.153</v>
      </c>
      <c r="K14" s="58">
        <v>2.153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97</v>
      </c>
      <c r="W14" s="62">
        <f>(10000*V14)/(144*99)</f>
        <v>68.04152637485971</v>
      </c>
      <c r="X14" s="62">
        <f t="shared" si="2"/>
        <v>68.04152637485971</v>
      </c>
      <c r="Y14" s="59">
        <v>0.291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>
        <v>0.511</v>
      </c>
      <c r="G15" s="59" t="s">
        <v>56</v>
      </c>
      <c r="H15" s="64"/>
      <c r="I15" s="60">
        <f t="shared" si="0"/>
        <v>0.511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35</v>
      </c>
      <c r="W15" s="62">
        <f>(10000*V15)/(198*99.3)</f>
        <v>17.801377317993634</v>
      </c>
      <c r="X15" s="62">
        <f t="shared" si="2"/>
        <v>17.801377317993634</v>
      </c>
      <c r="Y15" s="59">
        <v>0.511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 t="s">
        <v>56</v>
      </c>
      <c r="F16" s="59">
        <v>0.26</v>
      </c>
      <c r="G16" s="59">
        <v>0.182</v>
      </c>
      <c r="H16" s="64"/>
      <c r="I16" s="60">
        <f t="shared" si="0"/>
        <v>0.442</v>
      </c>
      <c r="J16" s="58">
        <v>0.442</v>
      </c>
      <c r="K16" s="59">
        <v>0.442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25</v>
      </c>
      <c r="W16" s="62">
        <f>(10000*V16)/(41.4*99)</f>
        <v>60.99643780803202</v>
      </c>
      <c r="X16" s="62">
        <f t="shared" si="2"/>
        <v>60.99643780803202</v>
      </c>
      <c r="Y16" s="59">
        <v>0.133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0.123512</v>
      </c>
      <c r="F17" s="59">
        <v>0.047828</v>
      </c>
      <c r="G17" s="59">
        <v>0.06936</v>
      </c>
      <c r="H17" s="64"/>
      <c r="I17" s="60">
        <f t="shared" si="0"/>
        <v>0.2407</v>
      </c>
      <c r="J17" s="58">
        <v>0.2407</v>
      </c>
      <c r="K17" s="59">
        <v>0.2407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12.3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0.001039</v>
      </c>
      <c r="F18" s="58">
        <v>0.058446</v>
      </c>
      <c r="G18" s="58">
        <v>0.059792</v>
      </c>
      <c r="H18" s="64"/>
      <c r="I18" s="60">
        <f t="shared" si="0"/>
        <v>0.119277</v>
      </c>
      <c r="J18" s="58">
        <v>0.119277</v>
      </c>
      <c r="K18" s="59">
        <v>0.119277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6.4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0.0162</v>
      </c>
      <c r="I19" s="60">
        <f t="shared" si="0"/>
        <v>0.0162</v>
      </c>
      <c r="J19" s="58">
        <v>0.0162</v>
      </c>
      <c r="K19" s="59">
        <v>0.0162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82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0.00335</v>
      </c>
      <c r="F20" s="58">
        <v>0.00359</v>
      </c>
      <c r="G20" s="64"/>
      <c r="H20" s="64"/>
      <c r="I20" s="60">
        <f t="shared" si="0"/>
        <v>0.00694</v>
      </c>
      <c r="J20" s="58">
        <v>0.00694</v>
      </c>
      <c r="K20" s="59">
        <v>0.00694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0.305</v>
      </c>
      <c r="W20" s="60"/>
      <c r="X20" s="62"/>
      <c r="Y20" s="59">
        <v>0.001827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0.0168</v>
      </c>
      <c r="F21" s="59">
        <v>0.018</v>
      </c>
      <c r="G21" s="64"/>
      <c r="H21" s="64"/>
      <c r="I21" s="60">
        <f t="shared" si="0"/>
        <v>0.0348</v>
      </c>
      <c r="J21" s="58">
        <v>0.0348</v>
      </c>
      <c r="K21" s="59">
        <v>0.0348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1.45</v>
      </c>
      <c r="W21" s="60"/>
      <c r="X21" s="62"/>
      <c r="Y21" s="59">
        <v>0.00856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0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0.021071</v>
      </c>
      <c r="F23" s="59" t="s">
        <v>56</v>
      </c>
      <c r="G23" s="64"/>
      <c r="H23" s="64" t="s">
        <v>49</v>
      </c>
      <c r="I23" s="60">
        <f t="shared" si="0"/>
        <v>0.021071</v>
      </c>
      <c r="J23" s="58">
        <v>0.021071</v>
      </c>
      <c r="K23" s="59">
        <v>0.021071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1.02</v>
      </c>
      <c r="W23" s="60"/>
      <c r="X23" s="62"/>
      <c r="Y23" s="59">
        <v>0.0058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0.286</v>
      </c>
      <c r="G24" s="64"/>
      <c r="H24" s="64"/>
      <c r="I24" s="60">
        <f t="shared" si="0"/>
        <v>0.286</v>
      </c>
      <c r="J24" s="58">
        <v>0.286</v>
      </c>
      <c r="K24" s="59">
        <v>0.286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0.286</v>
      </c>
      <c r="Z24" s="63" t="s">
        <v>82</v>
      </c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0.042024</v>
      </c>
      <c r="F25" s="59" t="s">
        <v>56</v>
      </c>
      <c r="G25" s="64"/>
      <c r="H25" s="64"/>
      <c r="I25" s="60">
        <f t="shared" si="0"/>
        <v>0.042024</v>
      </c>
      <c r="J25" s="58">
        <v>0.042024</v>
      </c>
      <c r="K25" s="59">
        <v>0.042024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2.25</v>
      </c>
      <c r="W25" s="59"/>
      <c r="X25" s="62"/>
      <c r="Y25" s="59">
        <v>0.01285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9.039824</v>
      </c>
      <c r="J27" s="61">
        <f>SUM(J7:J26)</f>
        <v>9.039824</v>
      </c>
      <c r="K27" s="61">
        <f>SUM(K7:K26)</f>
        <v>9.039824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3" ref="O27:V27">SUM(O7:O26)</f>
        <v>0</v>
      </c>
      <c r="P27" s="61">
        <f t="shared" si="3"/>
        <v>0</v>
      </c>
      <c r="Q27" s="61">
        <f t="shared" si="3"/>
        <v>0</v>
      </c>
      <c r="R27" s="61">
        <f t="shared" si="3"/>
        <v>0</v>
      </c>
      <c r="S27" s="61">
        <f t="shared" si="3"/>
        <v>0</v>
      </c>
      <c r="T27" s="61">
        <f t="shared" si="3"/>
        <v>0.172224</v>
      </c>
      <c r="U27" s="61">
        <f t="shared" si="3"/>
        <v>0.172224</v>
      </c>
      <c r="V27" s="78">
        <f t="shared" si="3"/>
        <v>645.425</v>
      </c>
      <c r="W27" s="60"/>
      <c r="X27" s="60"/>
      <c r="Y27" s="60">
        <f>SUM(Y7:Y26)</f>
        <v>2.803001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C33:Z33"/>
    <mergeCell ref="B28:Z28"/>
    <mergeCell ref="A29:Z29"/>
    <mergeCell ref="A30:B30"/>
    <mergeCell ref="C30:Z30"/>
    <mergeCell ref="C31:E31"/>
    <mergeCell ref="C32:J32"/>
    <mergeCell ref="V5:V6"/>
    <mergeCell ref="W5:W6"/>
    <mergeCell ref="X5:X6"/>
    <mergeCell ref="Y5:Y6"/>
    <mergeCell ref="Z5:Z6"/>
    <mergeCell ref="A27:B27"/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5">
      <selection activeCell="X7" sqref="X7:X23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6" customWidth="1"/>
    <col min="11" max="11" width="29.00390625" style="46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83"/>
      <c r="K4" s="83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136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101" t="s">
        <v>4</v>
      </c>
      <c r="K5" s="101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101"/>
      <c r="K6" s="101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0.482528</v>
      </c>
      <c r="F7" s="58" t="s">
        <v>81</v>
      </c>
      <c r="G7" s="58">
        <v>0.9188928</v>
      </c>
      <c r="H7" s="58" t="s">
        <v>51</v>
      </c>
      <c r="I7" s="60">
        <f aca="true" t="shared" si="0" ref="I7:I26">SUM(E7:H7)</f>
        <v>1.4014208</v>
      </c>
      <c r="J7" s="58">
        <v>23.007685600000002</v>
      </c>
      <c r="K7" s="58">
        <v>23.007685600000002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(W7+'01'!W7+'02'!W7+'03'!W7+'04'!W7+'05'!W7+'06'!W7+'07'!W7+'08'!W7+'09'!W7+'10'!W7+'11'!W7+'12'!W7+'13'!W7+'14'!W7+'15'!W7+'16'!W7+'17'!W7+'18'!W7)/19</f>
        <v>44.28137651821862</v>
      </c>
      <c r="Y7" s="59">
        <v>0.358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0.24804</v>
      </c>
      <c r="F8" s="58" t="s">
        <v>56</v>
      </c>
      <c r="G8" s="58">
        <v>0.47232</v>
      </c>
      <c r="H8" s="58" t="s">
        <v>56</v>
      </c>
      <c r="I8" s="60">
        <f t="shared" si="0"/>
        <v>0.72036</v>
      </c>
      <c r="J8" s="58">
        <v>12.075023999999999</v>
      </c>
      <c r="K8" s="58">
        <v>12.075023999999999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54</v>
      </c>
      <c r="W8" s="62">
        <f>(10000*V8)/(120*99)</f>
        <v>45.45454545454545</v>
      </c>
      <c r="X8" s="62">
        <f>(W8+'01'!W8+'02'!W8+'03'!W8+'04'!W8+'05'!W8+'06'!W8+'07'!W8+'08'!W8+'09'!W8+'10'!W8+'11'!W8+'12'!W8+'13'!W8+'14'!W8+'15'!W8+'16'!W8+'17'!W8+'18'!W8)/19</f>
        <v>45.144426723374096</v>
      </c>
      <c r="Y8" s="59">
        <v>0.182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0.0976</v>
      </c>
      <c r="G9" s="58">
        <v>0.1736</v>
      </c>
      <c r="H9" s="64"/>
      <c r="I9" s="60">
        <f t="shared" si="0"/>
        <v>0.2712</v>
      </c>
      <c r="J9" s="58">
        <v>4.3616</v>
      </c>
      <c r="K9" s="58">
        <v>4.3616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(W9+'01'!W9+'02'!W9+'03'!W9+'04'!W9+'05'!W9+'06'!W9+'07'!W9+'08'!W9+'09'!W9+'10'!W9+'11'!W9+'12'!W9+'13'!W9+'14'!W9+'15'!W9+'16'!W9+'17'!W9+'18'!W9)/19</f>
        <v>55.122701012349616</v>
      </c>
      <c r="Y9" s="59">
        <v>0.057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>
        <v>0.16716</v>
      </c>
      <c r="F10" s="58">
        <v>0.28872</v>
      </c>
      <c r="G10" s="59" t="s">
        <v>81</v>
      </c>
      <c r="H10" s="64"/>
      <c r="I10" s="60">
        <f t="shared" si="0"/>
        <v>0.45587999999999995</v>
      </c>
      <c r="J10" s="58">
        <v>7.171169999999999</v>
      </c>
      <c r="K10" s="58">
        <v>7.171169999999999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</v>
      </c>
      <c r="W10" s="62">
        <f>(10000*V10)/(51*99.3)</f>
        <v>63.18740990857572</v>
      </c>
      <c r="X10" s="62">
        <f>(W10+'01'!W10+'02'!W10+'03'!W10+'04'!W10+'05'!W10+'06'!W10+'07'!W10+'08'!W10+'09'!W10+'10'!W10+'11'!W10+'12'!W10+'13'!W10+'14'!W10+'15'!W10+'16'!W10+'17'!W10+'18'!W10)/19</f>
        <v>64.12274985788027</v>
      </c>
      <c r="Y10" s="59">
        <v>0.105</v>
      </c>
      <c r="Z10" s="63" t="s">
        <v>134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0.10344</v>
      </c>
      <c r="F11" s="59" t="s">
        <v>51</v>
      </c>
      <c r="G11" s="59">
        <v>0.20514</v>
      </c>
      <c r="H11" s="64" t="s">
        <v>49</v>
      </c>
      <c r="I11" s="60">
        <f>SUM(E11:H11)</f>
        <v>0.30857999999999997</v>
      </c>
      <c r="J11" s="58">
        <v>5.015280000000001</v>
      </c>
      <c r="K11" s="58">
        <v>5.015280000000001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(W11+'01'!W11+'02'!W11+'03'!W11+'04'!W11+'05'!W11+'06'!W11+'07'!W11+'08'!W11+'09'!W11+'10'!W11+'11'!W11+'12'!W11+'13'!W11+'14'!W11+'15'!W11+'16'!W11+'17'!W11+'18'!W11)/19</f>
        <v>67.1366230278617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0.600479</v>
      </c>
      <c r="F12" s="58">
        <v>0.60299</v>
      </c>
      <c r="G12" s="58" t="s">
        <v>51</v>
      </c>
      <c r="H12" s="64"/>
      <c r="I12" s="60">
        <f t="shared" si="0"/>
        <v>1.2034690000000001</v>
      </c>
      <c r="J12" s="58">
        <v>15.266012000000002</v>
      </c>
      <c r="K12" s="58">
        <v>15.266012000000002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(W12+'01'!W12+'02'!W12+'03'!W12+'04'!W12+'05'!W12+'06'!W12+'07'!W12+'08'!W12+'09'!W12+'10'!W12+'11'!W12+'12'!W12+'13'!W12+'14'!W12+'15'!W12+'16'!W12+'17'!W12+'18'!W12)/19</f>
        <v>73.43804290854695</v>
      </c>
      <c r="Y12" s="59">
        <v>0.212</v>
      </c>
      <c r="Z12" s="63" t="s">
        <v>93</v>
      </c>
    </row>
    <row r="13" spans="1:26" s="46" customFormat="1" ht="64.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0.518</v>
      </c>
      <c r="F13" s="58" t="s">
        <v>51</v>
      </c>
      <c r="G13" s="58">
        <v>0.27</v>
      </c>
      <c r="H13" s="58">
        <v>1.507</v>
      </c>
      <c r="I13" s="60">
        <f t="shared" si="0"/>
        <v>2.295</v>
      </c>
      <c r="J13" s="58">
        <v>35.944</v>
      </c>
      <c r="K13" s="58">
        <v>35.944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(W13+'01'!W13+'02'!W13+'03'!W13+'04'!W13+'05'!W13+'06'!W13+'07'!W13+'08'!W13+'09'!W13+'10'!W13+'11'!W13+'12'!W13+'13'!W13+'14'!W13+'15'!W13+'16'!W13+'17'!W13+'18'!W13)/19</f>
        <v>72.53980245669995</v>
      </c>
      <c r="Y13" s="59">
        <v>0.69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0.692</v>
      </c>
      <c r="F14" s="58">
        <v>0.698</v>
      </c>
      <c r="G14" s="58" t="s">
        <v>51</v>
      </c>
      <c r="H14" s="58">
        <v>0.638</v>
      </c>
      <c r="I14" s="60">
        <f t="shared" si="0"/>
        <v>2.028</v>
      </c>
      <c r="J14" s="58">
        <v>36.922000000000004</v>
      </c>
      <c r="K14" s="58">
        <v>36.922000000000004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94</v>
      </c>
      <c r="W14" s="62">
        <f>(10000*V14)/(144*99)</f>
        <v>65.9371492704826</v>
      </c>
      <c r="X14" s="62">
        <f>(W14+'01'!W14+'02'!W14+'03'!W14+'04'!W14+'05'!W14+'06'!W14+'07'!W14+'08'!W14+'09'!W14+'10'!W14+'11'!W14+'12'!W14+'13'!W14+'14'!W14+'15'!W14+'16'!W14+'17'!W14+'18'!W14)/19</f>
        <v>65.01417685628213</v>
      </c>
      <c r="Y14" s="59">
        <v>0.289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>
        <v>0.734</v>
      </c>
      <c r="G15" s="59" t="s">
        <v>56</v>
      </c>
      <c r="H15" s="64"/>
      <c r="I15" s="60">
        <f t="shared" si="0"/>
        <v>0.734</v>
      </c>
      <c r="J15" s="58">
        <v>3.768</v>
      </c>
      <c r="K15" s="58">
        <v>3.768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31</v>
      </c>
      <c r="W15" s="62">
        <f>(10000*V15)/(198*99.3)</f>
        <v>15.76693419593722</v>
      </c>
      <c r="X15" s="62">
        <f>(W15+'01'!W15+'02'!W15+'03'!W15+'04'!W15+'05'!W15+'06'!W15+'07'!W15+'08'!W15+'09'!W15+'10'!W15+'11'!W15+'12'!W15+'13'!W15+'14'!W15+'15'!W15+'16'!W15+'17'!W15+'18'!W15)/19</f>
        <v>4.2562691632496055</v>
      </c>
      <c r="Y15" s="59">
        <v>0.32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0.036</v>
      </c>
      <c r="F16" s="59">
        <v>0.201</v>
      </c>
      <c r="G16" s="59">
        <v>0.27</v>
      </c>
      <c r="H16" s="64"/>
      <c r="I16" s="60">
        <f t="shared" si="0"/>
        <v>0.507</v>
      </c>
      <c r="J16" s="58">
        <v>7.302</v>
      </c>
      <c r="K16" s="58">
        <v>7.302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36</v>
      </c>
      <c r="W16" s="62">
        <f>(10000*V16)/(41.4*99)</f>
        <v>87.8348704435661</v>
      </c>
      <c r="X16" s="62">
        <f>(W16+'01'!W16+'02'!W16+'03'!W16+'04'!W16+'05'!W16+'06'!W16+'07'!W16+'08'!W16+'09'!W16+'10'!W16+'11'!W16+'12'!W16+'13'!W16+'14'!W16+'15'!W16+'16'!W16+'17'!W16+'18'!W16)/19</f>
        <v>71.26952207043742</v>
      </c>
      <c r="Y16" s="59">
        <v>0.115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0.118723</v>
      </c>
      <c r="F17" s="59">
        <v>0.121995</v>
      </c>
      <c r="G17" s="59">
        <v>0.118193</v>
      </c>
      <c r="H17" s="64"/>
      <c r="I17" s="60">
        <f t="shared" si="0"/>
        <v>0.358911</v>
      </c>
      <c r="J17" s="58">
        <v>5.965609</v>
      </c>
      <c r="K17" s="58">
        <v>5.965609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16</v>
      </c>
      <c r="W17" s="62"/>
      <c r="X17" s="62">
        <f>(W17+'01'!W17+'02'!W17+'03'!W17+'04'!W17+'05'!W17+'06'!W17+'07'!W17+'08'!W17+'09'!W17+'10'!W17+'11'!W17+'12'!W17+'13'!W17+'14'!W17+'15'!W17+'16'!W17+'17'!W17+'18'!W17)/19</f>
        <v>0</v>
      </c>
      <c r="Y17" s="59">
        <v>0.059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0.049228</v>
      </c>
      <c r="F18" s="58">
        <v>0.048334</v>
      </c>
      <c r="G18" s="58">
        <v>0.051891</v>
      </c>
      <c r="H18" s="64"/>
      <c r="I18" s="60">
        <f t="shared" si="0"/>
        <v>0.149453</v>
      </c>
      <c r="J18" s="58">
        <v>2.604033</v>
      </c>
      <c r="K18" s="58">
        <v>2.604033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6.8</v>
      </c>
      <c r="W18" s="62"/>
      <c r="X18" s="62">
        <f>(W18+'01'!W18+'02'!W18+'03'!W18+'04'!W18+'05'!W18+'06'!W18+'07'!W18+'08'!W18+'09'!W18+'10'!W18+'11'!W18+'12'!W18+'13'!W18+'14'!W18+'15'!W18+'16'!W18+'17'!W18+'18'!W18)/19</f>
        <v>0</v>
      </c>
      <c r="Y18" s="59">
        <v>0.03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>
        <v>0.00071</v>
      </c>
      <c r="F19" s="65" t="s">
        <v>56</v>
      </c>
      <c r="G19" s="58" t="s">
        <v>56</v>
      </c>
      <c r="H19" s="58">
        <v>0.01482</v>
      </c>
      <c r="I19" s="60">
        <f t="shared" si="0"/>
        <v>0.01553</v>
      </c>
      <c r="J19" s="58">
        <v>0.433</v>
      </c>
      <c r="K19" s="58">
        <v>0.433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>
        <f>(W19+'01'!W19+'02'!W19+'03'!W19+'04'!W19+'05'!W19+'06'!W19+'07'!W19+'08'!W19+'09'!W19+'10'!W19+'11'!W19+'12'!W19+'13'!W19+'14'!W19+'15'!W19+'16'!W19+'17'!W19+'18'!W19)/19</f>
        <v>0</v>
      </c>
      <c r="Y19" s="59">
        <v>0.0021</v>
      </c>
      <c r="Z19" s="63" t="s">
        <v>121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65">
        <v>0.00045</v>
      </c>
      <c r="F20" s="58">
        <v>0.00199</v>
      </c>
      <c r="G20" s="64"/>
      <c r="H20" s="64"/>
      <c r="I20" s="60">
        <f t="shared" si="0"/>
        <v>0.00244</v>
      </c>
      <c r="J20" s="58">
        <v>0.08688000000000001</v>
      </c>
      <c r="K20" s="58">
        <v>0.08688000000000001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0.6</v>
      </c>
      <c r="W20" s="60"/>
      <c r="X20" s="62">
        <f>(W20+'01'!W20+'02'!W20+'03'!W20+'04'!W20+'05'!W20+'06'!W20+'07'!W20+'08'!W20+'09'!W20+'10'!W20+'11'!W20+'12'!W20+'13'!W20+'14'!W20+'15'!W20+'16'!W20+'17'!W20+'18'!W20)/19</f>
        <v>0</v>
      </c>
      <c r="Y20" s="59">
        <v>0.001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0.012</v>
      </c>
      <c r="F21" s="59">
        <v>0.013</v>
      </c>
      <c r="G21" s="64"/>
      <c r="H21" s="64"/>
      <c r="I21" s="60">
        <f t="shared" si="0"/>
        <v>0.025</v>
      </c>
      <c r="J21" s="58">
        <v>0.5830000000000002</v>
      </c>
      <c r="K21" s="58">
        <v>0.5830000000000002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1.74</v>
      </c>
      <c r="W21" s="60"/>
      <c r="X21" s="62">
        <f>(W21+'01'!W21+'02'!W21+'03'!W21+'04'!W21+'05'!W21+'06'!W21+'07'!W21+'08'!W21+'09'!W21+'10'!W21+'11'!W21+'12'!W21+'13'!W21+'14'!W21+'15'!W21+'16'!W21+'17'!W21+'18'!W21)/19</f>
        <v>0</v>
      </c>
      <c r="Y21" s="59">
        <v>0.00834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>
        <v>0.017844</v>
      </c>
      <c r="F22" s="59">
        <v>0.014685</v>
      </c>
      <c r="G22" s="64"/>
      <c r="H22" s="64"/>
      <c r="I22" s="60">
        <f t="shared" si="0"/>
        <v>0.032529</v>
      </c>
      <c r="J22" s="58">
        <v>0.1479</v>
      </c>
      <c r="K22" s="58">
        <v>0.1479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1.8</v>
      </c>
      <c r="W22" s="60"/>
      <c r="X22" s="62">
        <f>(W22+'01'!W22+'02'!W22+'03'!W22+'04'!W22+'05'!W22+'06'!W22+'07'!W22+'08'!W22+'09'!W22+'10'!W22+'11'!W22+'12'!W22+'13'!W22+'14'!W22+'15'!W22+'16'!W22+'17'!W22+'18'!W22)/19</f>
        <v>0</v>
      </c>
      <c r="Y22" s="59">
        <v>0.0036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0.034953</v>
      </c>
      <c r="F23" s="59" t="s">
        <v>56</v>
      </c>
      <c r="G23" s="64"/>
      <c r="H23" s="64" t="s">
        <v>49</v>
      </c>
      <c r="I23" s="60">
        <f t="shared" si="0"/>
        <v>0.034953</v>
      </c>
      <c r="J23" s="58">
        <v>0.4310840000000001</v>
      </c>
      <c r="K23" s="58">
        <v>0.4310840000000001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1.5</v>
      </c>
      <c r="W23" s="60"/>
      <c r="X23" s="62">
        <f>(W23+'01'!W23+'02'!W23+'03'!W23+'04'!W23+'05'!W23+'06'!W23+'07'!W23+'08'!W23+'09'!W23+'10'!W23+'11'!W23+'12'!W23+'13'!W23+'14'!W23+'15'!W23+'16'!W23+'17'!W23+'18'!W23)/19</f>
        <v>0</v>
      </c>
      <c r="Y23" s="59">
        <v>0.0067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>
        <v>0.0909</v>
      </c>
      <c r="F24" s="59">
        <v>0.2463</v>
      </c>
      <c r="G24" s="64"/>
      <c r="H24" s="64"/>
      <c r="I24" s="60">
        <f t="shared" si="0"/>
        <v>0.3372</v>
      </c>
      <c r="J24" s="58">
        <v>4.3797</v>
      </c>
      <c r="K24" s="58">
        <v>4.3797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0.18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0.037338</v>
      </c>
      <c r="F25" s="59" t="s">
        <v>56</v>
      </c>
      <c r="G25" s="64"/>
      <c r="H25" s="64"/>
      <c r="I25" s="60">
        <f t="shared" si="0"/>
        <v>0.037338</v>
      </c>
      <c r="J25" s="58">
        <v>0.770688</v>
      </c>
      <c r="K25" s="58">
        <v>0.770688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2.05</v>
      </c>
      <c r="W25" s="59"/>
      <c r="X25" s="62"/>
      <c r="Y25" s="59">
        <v>0.0121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8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10.9182638</v>
      </c>
      <c r="J27" s="61">
        <f>SUM(J7:J26)</f>
        <v>166.23466559999997</v>
      </c>
      <c r="K27" s="61">
        <f>SUM(K7:K26)</f>
        <v>166.23466559999997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778.6899999999999</v>
      </c>
      <c r="W27" s="60"/>
      <c r="X27" s="60"/>
      <c r="Y27" s="60">
        <f>SUM(Y7:Y26)</f>
        <v>2.68084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84"/>
      <c r="K31" s="84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85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86"/>
      <c r="K34" s="87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6">
      <selection activeCell="Z17" sqref="Z17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6" customWidth="1"/>
    <col min="11" max="11" width="29.00390625" style="46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137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83"/>
      <c r="K4" s="83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138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101" t="s">
        <v>4</v>
      </c>
      <c r="K5" s="101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101"/>
      <c r="K6" s="101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0.557808</v>
      </c>
      <c r="F7" s="58" t="s">
        <v>81</v>
      </c>
      <c r="G7" s="58">
        <v>0.9164544</v>
      </c>
      <c r="H7" s="58" t="s">
        <v>51</v>
      </c>
      <c r="I7" s="60">
        <f aca="true" t="shared" si="0" ref="I7:I26">SUM(E7:H7)</f>
        <v>1.4742624</v>
      </c>
      <c r="J7" s="58">
        <v>24.4831736</v>
      </c>
      <c r="K7" s="58">
        <v>24.4831736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(W7+'01'!W7+'02'!W7+'03'!W7+'04'!W7+'05'!W7+'06'!W7+'07'!W7+'08'!W7+'09'!W7+'10'!W7+'11'!W7+'12'!W7+'13'!W7+'14'!W7+'15'!W7+'16'!W7+'17'!W7+'18'!W7+'19'!W7)/20</f>
        <v>44.28137651821862</v>
      </c>
      <c r="Y7" s="59">
        <v>0.3476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0.19546</v>
      </c>
      <c r="F8" s="58">
        <v>0.2539</v>
      </c>
      <c r="G8" s="58">
        <v>0.29866</v>
      </c>
      <c r="H8" s="58" t="s">
        <v>56</v>
      </c>
      <c r="I8" s="60">
        <f t="shared" si="0"/>
        <v>0.7480199999999999</v>
      </c>
      <c r="J8" s="58">
        <v>12.823044</v>
      </c>
      <c r="K8" s="58">
        <v>12.823044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52</v>
      </c>
      <c r="W8" s="62">
        <f>(10000*V8)/(120*99)</f>
        <v>43.77104377104377</v>
      </c>
      <c r="X8" s="62">
        <f>(W8+'01'!W8+'02'!W8+'03'!W8+'04'!W8+'05'!W8+'06'!W8+'07'!W8+'08'!W8+'09'!W8+'10'!W8+'11'!W8+'12'!W8+'13'!W8+'14'!W8+'15'!W8+'16'!W8+'17'!W8+'18'!W8+'19'!W8)/20</f>
        <v>45.075757575757585</v>
      </c>
      <c r="Y8" s="59">
        <v>0.169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0.1068</v>
      </c>
      <c r="G9" s="58">
        <v>0.1608</v>
      </c>
      <c r="H9" s="64"/>
      <c r="I9" s="60">
        <f t="shared" si="0"/>
        <v>0.2676</v>
      </c>
      <c r="J9" s="58">
        <v>4.6292</v>
      </c>
      <c r="K9" s="58">
        <v>4.6292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</v>
      </c>
      <c r="W9" s="62">
        <f>(10000*V9)/(33.75*99.3)</f>
        <v>53.70929842228936</v>
      </c>
      <c r="X9" s="62">
        <f>(W9+'01'!W9+'02'!W9+'03'!W9+'04'!W9+'05'!W9+'06'!W9+'07'!W9+'08'!W9+'09'!W9+'10'!W9+'11'!W9+'12'!W9+'13'!W9+'14'!W9+'15'!W9+'16'!W9+'17'!W9+'18'!W9+'19'!W9)/20</f>
        <v>55.0520308828466</v>
      </c>
      <c r="Y9" s="59">
        <v>0.05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>
        <v>0.17664</v>
      </c>
      <c r="F10" s="58">
        <v>0.27024</v>
      </c>
      <c r="G10" s="59" t="s">
        <v>81</v>
      </c>
      <c r="H10" s="64"/>
      <c r="I10" s="60">
        <f t="shared" si="0"/>
        <v>0.44687999999999994</v>
      </c>
      <c r="J10" s="58">
        <v>7.618049999999999</v>
      </c>
      <c r="K10" s="58">
        <v>7.618049999999999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33</v>
      </c>
      <c r="W10" s="62">
        <f>(10000*V10)/(51*99.3)</f>
        <v>65.16201646821871</v>
      </c>
      <c r="X10" s="62">
        <f>(W10+'01'!W10+'02'!W10+'03'!W10+'04'!W10+'05'!W10+'06'!W10+'07'!W10+'08'!W10+'09'!W10+'10'!W10+'11'!W10+'12'!W10+'13'!W10+'14'!W10+'15'!W10+'16'!W10+'17'!W10+'18'!W10+'19'!W10)/20</f>
        <v>64.17471318839719</v>
      </c>
      <c r="Y10" s="59">
        <v>0.102</v>
      </c>
      <c r="Z10" s="63" t="s">
        <v>134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0.10896</v>
      </c>
      <c r="F11" s="59" t="s">
        <v>51</v>
      </c>
      <c r="G11" s="59">
        <v>0.19278</v>
      </c>
      <c r="H11" s="64" t="s">
        <v>49</v>
      </c>
      <c r="I11" s="60">
        <f>SUM(E11:H11)</f>
        <v>0.30174</v>
      </c>
      <c r="J11" s="58">
        <v>5.31702</v>
      </c>
      <c r="K11" s="58">
        <v>5.31702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(W11+'01'!W11+'02'!W11+'03'!W11+'04'!W11+'05'!W11+'06'!W11+'07'!W11+'08'!W11+'09'!W11+'10'!W11+'11'!W11+'12'!W11+'13'!W11+'14'!W11+'15'!W11+'16'!W11+'17'!W11+'18'!W11+'19'!W11)/20</f>
        <v>67.1366230278617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0.577625</v>
      </c>
      <c r="F12" s="58">
        <v>0.597483</v>
      </c>
      <c r="G12" s="58" t="s">
        <v>51</v>
      </c>
      <c r="H12" s="64"/>
      <c r="I12" s="60">
        <f t="shared" si="0"/>
        <v>1.175108</v>
      </c>
      <c r="J12" s="58">
        <v>16.44112</v>
      </c>
      <c r="K12" s="58">
        <v>16.44112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(W12+'01'!W12+'02'!W12+'03'!W12+'04'!W12+'05'!W12+'06'!W12+'07'!W12+'08'!W12+'09'!W12+'10'!W12+'11'!W12+'12'!W12+'13'!W12+'14'!W12+'15'!W12+'16'!W12+'17'!W12+'18'!W12+'19'!W12)/20</f>
        <v>73.57054940136508</v>
      </c>
      <c r="Y12" s="59">
        <v>0.206267</v>
      </c>
      <c r="Z12" s="63" t="s">
        <v>93</v>
      </c>
    </row>
    <row r="13" spans="1:26" s="46" customFormat="1" ht="64.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0.519</v>
      </c>
      <c r="F13" s="58" t="s">
        <v>51</v>
      </c>
      <c r="G13" s="58">
        <v>0.559</v>
      </c>
      <c r="H13" s="58">
        <v>1.488</v>
      </c>
      <c r="I13" s="60">
        <f t="shared" si="0"/>
        <v>2.566</v>
      </c>
      <c r="J13" s="58">
        <v>38.510000000000005</v>
      </c>
      <c r="K13" s="58">
        <v>38.510000000000005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232</v>
      </c>
      <c r="W13" s="62">
        <f>(10000*V13)/(304*99)</f>
        <v>77.08665603402446</v>
      </c>
      <c r="X13" s="62">
        <f>(W13+'01'!W13+'02'!W13+'03'!W13+'04'!W13+'05'!W13+'06'!W13+'07'!W13+'08'!W13+'09'!W13+'10'!W13+'11'!W13+'12'!W13+'13'!W13+'14'!W13+'15'!W13+'16'!W13+'17'!W13+'18'!W13+'19'!W13)/20</f>
        <v>72.76714513556617</v>
      </c>
      <c r="Y13" s="59">
        <v>0.688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0.679</v>
      </c>
      <c r="F14" s="58">
        <v>0.688</v>
      </c>
      <c r="G14" s="58" t="s">
        <v>51</v>
      </c>
      <c r="H14" s="58">
        <v>0.604</v>
      </c>
      <c r="I14" s="60">
        <f t="shared" si="0"/>
        <v>1.971</v>
      </c>
      <c r="J14" s="58">
        <v>38.893</v>
      </c>
      <c r="K14" s="58">
        <v>38.893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93</v>
      </c>
      <c r="W14" s="62">
        <f>(10000*V14)/(144*99)</f>
        <v>65.23569023569024</v>
      </c>
      <c r="X14" s="62">
        <f>(W14+'01'!W14+'02'!W14+'03'!W14+'04'!W14+'05'!W14+'06'!W14+'07'!W14+'08'!W14+'09'!W14+'10'!W14+'11'!W14+'12'!W14+'13'!W14+'14'!W14+'15'!W14+'16'!W14+'17'!W14+'18'!W14+'19'!W14)/20</f>
        <v>65.02525252525254</v>
      </c>
      <c r="Y14" s="59">
        <v>0.354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>
        <v>0.128</v>
      </c>
      <c r="F15" s="59">
        <v>0.738</v>
      </c>
      <c r="G15" s="59" t="s">
        <v>56</v>
      </c>
      <c r="H15" s="64"/>
      <c r="I15" s="60">
        <f t="shared" si="0"/>
        <v>0.866</v>
      </c>
      <c r="J15" s="58">
        <v>4.6339999999999995</v>
      </c>
      <c r="K15" s="58">
        <v>4.6339999999999995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64</v>
      </c>
      <c r="W15" s="62">
        <f>(10000*V15)/(198*99.3)</f>
        <v>32.55108995290264</v>
      </c>
      <c r="X15" s="62">
        <f>(W15+'01'!W15+'02'!W15+'03'!W15+'04'!W15+'05'!W15+'06'!W15+'07'!W15+'08'!W15+'09'!W15+'10'!W15+'11'!W15+'12'!W15+'13'!W15+'14'!W15+'15'!W15+'16'!W15+'17'!W15+'18'!W15+'19'!W15)/20</f>
        <v>5.671010202732258</v>
      </c>
      <c r="Y15" s="59">
        <v>0.256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0.066</v>
      </c>
      <c r="F16" s="59">
        <v>0.22</v>
      </c>
      <c r="G16" s="59">
        <v>0.217</v>
      </c>
      <c r="H16" s="64"/>
      <c r="I16" s="60">
        <f t="shared" si="0"/>
        <v>0.503</v>
      </c>
      <c r="J16" s="58">
        <v>7.805</v>
      </c>
      <c r="K16" s="58">
        <v>7.805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32</v>
      </c>
      <c r="W16" s="62">
        <f>(10000*V16)/(41.4*99)</f>
        <v>78.07544039428099</v>
      </c>
      <c r="X16" s="62">
        <f>(W16+'01'!W16+'02'!W16+'03'!W16+'04'!W16+'05'!W16+'06'!W16+'07'!W16+'08'!W16+'09'!W16+'10'!W16+'11'!W16+'12'!W16+'13'!W16+'14'!W16+'15'!W16+'16'!W16+'17'!W16+'18'!W16+'19'!W16)/20</f>
        <v>71.6098179866296</v>
      </c>
      <c r="Y16" s="59">
        <v>0.084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0.116406</v>
      </c>
      <c r="F17" s="59">
        <v>0.122028</v>
      </c>
      <c r="G17" s="59">
        <v>0.119696</v>
      </c>
      <c r="H17" s="64"/>
      <c r="I17" s="60">
        <f t="shared" si="0"/>
        <v>0.35812999999999995</v>
      </c>
      <c r="J17" s="58">
        <v>6.323739</v>
      </c>
      <c r="K17" s="58">
        <v>6.323739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16.5</v>
      </c>
      <c r="W17" s="62"/>
      <c r="X17" s="62">
        <f>(W17+'01'!W17+'02'!W17+'03'!W17+'04'!W17+'05'!W17+'06'!W17+'07'!W17+'08'!W17+'09'!W17+'10'!W17+'11'!W17+'12'!W17+'13'!W17+'14'!W17+'15'!W17+'16'!W17+'17'!W17+'18'!W17+'19'!W17)/20</f>
        <v>0</v>
      </c>
      <c r="Y17" s="59">
        <v>0.058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0.05177</v>
      </c>
      <c r="F18" s="58">
        <v>0.050442</v>
      </c>
      <c r="G18" s="58">
        <v>0.054025</v>
      </c>
      <c r="H18" s="64"/>
      <c r="I18" s="60">
        <f t="shared" si="0"/>
        <v>0.156237</v>
      </c>
      <c r="J18" s="58">
        <v>2.76027</v>
      </c>
      <c r="K18" s="58">
        <v>2.76027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6.7</v>
      </c>
      <c r="W18" s="62"/>
      <c r="X18" s="62">
        <f>(W18+'01'!W18+'02'!W18+'03'!W18+'04'!W18+'05'!W18+'06'!W18+'07'!W18+'08'!W18+'09'!W18+'10'!W18+'11'!W18+'12'!W18+'13'!W18+'14'!W18+'15'!W18+'16'!W18+'17'!W18+'18'!W18+'19'!W18)/20</f>
        <v>0</v>
      </c>
      <c r="Y18" s="59">
        <v>0.032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56</v>
      </c>
      <c r="F19" s="65" t="s">
        <v>56</v>
      </c>
      <c r="G19" s="58" t="s">
        <v>56</v>
      </c>
      <c r="H19" s="58">
        <v>0.01506</v>
      </c>
      <c r="I19" s="60">
        <f t="shared" si="0"/>
        <v>0.01506</v>
      </c>
      <c r="J19" s="58">
        <v>0.44806</v>
      </c>
      <c r="K19" s="58">
        <v>0.44806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>
        <f>(W19+'01'!W19+'02'!W19+'03'!W19+'04'!W19+'05'!W19+'06'!W19+'07'!W19+'08'!W19+'09'!W19+'10'!W19+'11'!W19+'12'!W19+'13'!W19+'14'!W19+'15'!W19+'16'!W19+'17'!W19+'18'!W19+'19'!W19)/20</f>
        <v>0</v>
      </c>
      <c r="Y19" s="59">
        <v>0.0021</v>
      </c>
      <c r="Z19" s="63"/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65">
        <v>0.00012</v>
      </c>
      <c r="F20" s="58">
        <v>0.00191</v>
      </c>
      <c r="G20" s="64"/>
      <c r="H20" s="64"/>
      <c r="I20" s="60">
        <f t="shared" si="0"/>
        <v>0.00203</v>
      </c>
      <c r="J20" s="58">
        <v>0.08891000000000002</v>
      </c>
      <c r="K20" s="58">
        <v>0.08891000000000002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0.6</v>
      </c>
      <c r="W20" s="60"/>
      <c r="X20" s="62">
        <f>(W20+'01'!W20+'02'!W20+'03'!W20+'04'!W20+'05'!W20+'06'!W20+'07'!W20+'08'!W20+'09'!W20+'10'!W20+'11'!W20+'12'!W20+'13'!W20+'14'!W20+'15'!W20+'16'!W20+'17'!W20+'18'!W20+'19'!W20)/20</f>
        <v>0</v>
      </c>
      <c r="Y20" s="59">
        <v>0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0.018</v>
      </c>
      <c r="F21" s="59">
        <v>0.022</v>
      </c>
      <c r="G21" s="64"/>
      <c r="H21" s="64"/>
      <c r="I21" s="60">
        <f t="shared" si="0"/>
        <v>0.039999999999999994</v>
      </c>
      <c r="J21" s="58">
        <v>0.6230000000000002</v>
      </c>
      <c r="K21" s="58">
        <v>0.6230000000000002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1.74</v>
      </c>
      <c r="W21" s="60"/>
      <c r="X21" s="62">
        <f>(W21+'01'!W21+'02'!W21+'03'!W21+'04'!W21+'05'!W21+'06'!W21+'07'!W21+'08'!W21+'09'!W21+'10'!W21+'11'!W21+'12'!W21+'13'!W21+'14'!W21+'15'!W21+'16'!W21+'17'!W21+'18'!W21+'19'!W21)/20</f>
        <v>0</v>
      </c>
      <c r="Y21" s="59">
        <v>0.0103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>
        <v>0.00827</v>
      </c>
      <c r="F22" s="59">
        <v>0.0064</v>
      </c>
      <c r="G22" s="64"/>
      <c r="H22" s="64"/>
      <c r="I22" s="60">
        <f t="shared" si="0"/>
        <v>0.014669999999999999</v>
      </c>
      <c r="J22" s="58">
        <v>0.16257</v>
      </c>
      <c r="K22" s="58">
        <v>0.16257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1.5</v>
      </c>
      <c r="W22" s="60"/>
      <c r="X22" s="62">
        <f>(W22+'01'!W22+'02'!W22+'03'!W22+'04'!W22+'05'!W22+'06'!W22+'07'!W22+'08'!W22+'09'!W22+'10'!W22+'11'!W22+'12'!W22+'13'!W22+'14'!W22+'15'!W22+'16'!W22+'17'!W22+'18'!W22+'19'!W22)/20</f>
        <v>0</v>
      </c>
      <c r="Y22" s="59">
        <v>0.0045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0.035448</v>
      </c>
      <c r="F23" s="59" t="s">
        <v>56</v>
      </c>
      <c r="G23" s="64"/>
      <c r="H23" s="64" t="s">
        <v>49</v>
      </c>
      <c r="I23" s="60">
        <f t="shared" si="0"/>
        <v>0.035448</v>
      </c>
      <c r="J23" s="58">
        <v>0.46653200000000006</v>
      </c>
      <c r="K23" s="58">
        <v>0.46653200000000006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1.7</v>
      </c>
      <c r="W23" s="60"/>
      <c r="X23" s="62">
        <f>(W23+'01'!W23+'02'!W23+'03'!W23+'04'!W23+'05'!W23+'06'!W23+'07'!W23+'08'!W23+'09'!W23+'10'!W23+'11'!W23+'12'!W23+'13'!W23+'14'!W23+'15'!W23+'16'!W23+'17'!W23+'18'!W23+'19'!W23)/20</f>
        <v>0</v>
      </c>
      <c r="Y23" s="59">
        <v>0.0093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>
        <v>0.3028</v>
      </c>
      <c r="F24" s="59" t="s">
        <v>56</v>
      </c>
      <c r="G24" s="64"/>
      <c r="H24" s="64"/>
      <c r="I24" s="60">
        <f t="shared" si="0"/>
        <v>0.3028</v>
      </c>
      <c r="J24" s="58">
        <v>4.6825</v>
      </c>
      <c r="K24" s="58">
        <v>4.6825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0.3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0.037015</v>
      </c>
      <c r="F25" s="59" t="s">
        <v>56</v>
      </c>
      <c r="G25" s="64"/>
      <c r="H25" s="64"/>
      <c r="I25" s="60">
        <f t="shared" si="0"/>
        <v>0.037015</v>
      </c>
      <c r="J25" s="58">
        <v>0.8077030000000001</v>
      </c>
      <c r="K25" s="58">
        <v>0.8077030000000001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1.8</v>
      </c>
      <c r="W25" s="59"/>
      <c r="X25" s="62"/>
      <c r="Y25" s="59">
        <v>0.0089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8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11.2810004</v>
      </c>
      <c r="J27" s="61">
        <f>SUM(J7:J26)</f>
        <v>177.51689159999995</v>
      </c>
      <c r="K27" s="61">
        <f>SUM(K7:K26)</f>
        <v>177.51689159999995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808.2400000000001</v>
      </c>
      <c r="W27" s="60"/>
      <c r="X27" s="60"/>
      <c r="Y27" s="60">
        <f>SUM(Y7:Y26)</f>
        <v>2.731967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84"/>
      <c r="K31" s="84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85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86"/>
      <c r="K34" s="87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5">
      <selection activeCell="Z19" sqref="Z19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6" customWidth="1"/>
    <col min="11" max="11" width="29.00390625" style="46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83"/>
      <c r="K4" s="83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140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101" t="s">
        <v>4</v>
      </c>
      <c r="K5" s="101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101"/>
      <c r="K6" s="101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1.1018912</v>
      </c>
      <c r="F7" s="58" t="s">
        <v>81</v>
      </c>
      <c r="G7" s="58">
        <v>0.5601152</v>
      </c>
      <c r="H7" s="58" t="s">
        <v>51</v>
      </c>
      <c r="I7" s="60">
        <f aca="true" t="shared" si="0" ref="I7:I26">SUM(E7:H7)</f>
        <v>1.6620064</v>
      </c>
      <c r="J7" s="58">
        <v>26.14518</v>
      </c>
      <c r="K7" s="58">
        <v>26.14518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(W7+'01'!W7+'02'!W7+'03'!W7+'04'!W7+'05'!W7+'06'!W7+'07'!W7+'08'!W7+'09'!W7+'10'!W7+'11'!W7+'12'!W7+'13'!W7+'14'!W7+'15'!W7+'16'!W7+'17'!W7+'18'!W7+'19'!W7+'20'!W7)/21</f>
        <v>44.28137651821862</v>
      </c>
      <c r="Y7" s="59">
        <v>0.3442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0.26132</v>
      </c>
      <c r="F8" s="58">
        <v>0.62524</v>
      </c>
      <c r="G8" s="58" t="s">
        <v>56</v>
      </c>
      <c r="H8" s="58" t="s">
        <v>56</v>
      </c>
      <c r="I8" s="60">
        <f t="shared" si="0"/>
        <v>0.88656</v>
      </c>
      <c r="J8" s="58">
        <v>13.709603999999999</v>
      </c>
      <c r="K8" s="58">
        <v>13.709603999999999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53</v>
      </c>
      <c r="W8" s="62">
        <f>(10000*V8)/(120*99)</f>
        <v>44.612794612794616</v>
      </c>
      <c r="X8" s="62">
        <f>(W8+'01'!W8+'02'!W8+'03'!W8+'04'!W8+'05'!W8+'06'!W8+'07'!W8+'08'!W8+'09'!W8+'10'!W8+'11'!W8+'12'!W8+'13'!W8+'14'!W8+'15'!W8+'16'!W8+'17'!W8+'18'!W8+'19'!W8+'20'!W8)/21</f>
        <v>45.053711720378395</v>
      </c>
      <c r="Y8" s="59">
        <v>0.172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0.143</v>
      </c>
      <c r="G9" s="58">
        <v>0.1788</v>
      </c>
      <c r="H9" s="64"/>
      <c r="I9" s="60">
        <f t="shared" si="0"/>
        <v>0.3218</v>
      </c>
      <c r="J9" s="58">
        <v>4.951</v>
      </c>
      <c r="K9" s="58">
        <v>4.951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</v>
      </c>
      <c r="W9" s="62">
        <f>(10000*V9)/(33.75*99.3)</f>
        <v>53.70929842228936</v>
      </c>
      <c r="X9" s="62">
        <f>(W9+'01'!W9+'02'!W9+'03'!W9+'04'!W9+'05'!W9+'06'!W9+'07'!W9+'08'!W9+'09'!W9+'10'!W9+'11'!W9+'12'!W9+'13'!W9+'14'!W9+'15'!W9+'16'!W9+'17'!W9+'18'!W9+'19'!W9+'20'!W9)/21</f>
        <v>54.98809124186768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>
        <v>0.3042</v>
      </c>
      <c r="F10" s="58">
        <v>0.22836</v>
      </c>
      <c r="G10" s="59" t="s">
        <v>81</v>
      </c>
      <c r="H10" s="64"/>
      <c r="I10" s="60">
        <f t="shared" si="0"/>
        <v>0.53256</v>
      </c>
      <c r="J10" s="58">
        <v>8.150609999999999</v>
      </c>
      <c r="K10" s="58">
        <v>8.150609999999999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</v>
      </c>
      <c r="W10" s="62">
        <f>(10000*V10)/(51*99.3)</f>
        <v>63.18740990857572</v>
      </c>
      <c r="X10" s="62">
        <f>(W10+'01'!W10+'02'!W10+'03'!W10+'04'!W10+'05'!W10+'06'!W10+'07'!W10+'08'!W10+'09'!W10+'10'!W10+'11'!W10+'12'!W10+'13'!W10+'14'!W10+'15'!W10+'16'!W10+'17'!W10+'18'!W10+'19'!W10+'20'!W10)/21</f>
        <v>64.12769874650093</v>
      </c>
      <c r="Y10" s="59">
        <v>0.109</v>
      </c>
      <c r="Z10" s="63" t="s">
        <v>134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0.1458</v>
      </c>
      <c r="F11" s="59" t="s">
        <v>51</v>
      </c>
      <c r="G11" s="59">
        <v>0.20478</v>
      </c>
      <c r="H11" s="64" t="s">
        <v>49</v>
      </c>
      <c r="I11" s="60">
        <f>SUM(E11:H11)</f>
        <v>0.35058</v>
      </c>
      <c r="J11" s="58">
        <v>5.6676</v>
      </c>
      <c r="K11" s="58">
        <v>5.6676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(W11+'01'!W11+'02'!W11+'03'!W11+'04'!W11+'05'!W11+'06'!W11+'07'!W11+'08'!W11+'09'!W11+'10'!W11+'11'!W11+'12'!W11+'13'!W11+'14'!W11+'15'!W11+'16'!W11+'17'!W11+'18'!W11+'19'!W11+'20'!W11)/21</f>
        <v>67.13662302786172</v>
      </c>
      <c r="Y11" s="59">
        <v>0.056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0.585004</v>
      </c>
      <c r="F12" s="58">
        <v>0.585576</v>
      </c>
      <c r="G12" s="58" t="s">
        <v>51</v>
      </c>
      <c r="H12" s="64"/>
      <c r="I12" s="60">
        <f t="shared" si="0"/>
        <v>1.17058</v>
      </c>
      <c r="J12" s="58">
        <v>17.611700000000003</v>
      </c>
      <c r="K12" s="58">
        <v>17.611700000000003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(W12+'01'!W12+'02'!W12+'03'!W12+'04'!W12+'05'!W12+'06'!W12+'07'!W12+'08'!W12+'09'!W12+'10'!W12+'11'!W12+'12'!W12+'13'!W12+'14'!W12+'15'!W12+'16'!W12+'17'!W12+'18'!W12+'19'!W12+'20'!W12)/21</f>
        <v>73.69043622820055</v>
      </c>
      <c r="Y12" s="59">
        <v>0.3434</v>
      </c>
      <c r="Z12" s="63" t="s">
        <v>93</v>
      </c>
    </row>
    <row r="13" spans="1:26" s="46" customFormat="1" ht="64.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0.445</v>
      </c>
      <c r="F13" s="58" t="s">
        <v>51</v>
      </c>
      <c r="G13" s="58">
        <v>0.265</v>
      </c>
      <c r="H13" s="58">
        <v>1.319</v>
      </c>
      <c r="I13" s="60">
        <f t="shared" si="0"/>
        <v>2.029</v>
      </c>
      <c r="J13" s="58">
        <v>40.539</v>
      </c>
      <c r="K13" s="58">
        <v>40.539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(W13+'01'!W13+'02'!W13+'03'!W13+'04'!W13+'05'!W13+'06'!W13+'07'!W13+'08'!W13+'09'!W13+'10'!W13+'11'!W13+'12'!W13+'13'!W13+'14'!W13+'15'!W13+'16'!W13+'17'!W13+'18'!W13+'19'!W13+'20'!W13)/21</f>
        <v>72.92536897800053</v>
      </c>
      <c r="Y13" s="59">
        <v>0.688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0.716</v>
      </c>
      <c r="F14" s="58">
        <v>0.741</v>
      </c>
      <c r="G14" s="58" t="s">
        <v>51</v>
      </c>
      <c r="H14" s="58">
        <v>0.654</v>
      </c>
      <c r="I14" s="60">
        <f t="shared" si="0"/>
        <v>2.1109999999999998</v>
      </c>
      <c r="J14" s="58">
        <v>41.004</v>
      </c>
      <c r="K14" s="58">
        <v>41.004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94</v>
      </c>
      <c r="W14" s="62">
        <f>(10000*V14)/(144*99)</f>
        <v>65.9371492704826</v>
      </c>
      <c r="X14" s="62">
        <f>(W14+'01'!W14+'02'!W14+'03'!W14+'04'!W14+'05'!W14+'06'!W14+'07'!W14+'08'!W14+'09'!W14+'10'!W14+'11'!W14+'12'!W14+'13'!W14+'14'!W14+'15'!W14+'16'!W14+'17'!W14+'18'!W14+'19'!W14+'20'!W14)/21</f>
        <v>65.0686761797873</v>
      </c>
      <c r="Y14" s="59">
        <v>0.91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>
        <v>0.768</v>
      </c>
      <c r="F15" s="59">
        <v>0.767</v>
      </c>
      <c r="G15" s="59" t="s">
        <v>56</v>
      </c>
      <c r="H15" s="64"/>
      <c r="I15" s="60">
        <f t="shared" si="0"/>
        <v>1.5350000000000001</v>
      </c>
      <c r="J15" s="58">
        <v>6.169</v>
      </c>
      <c r="K15" s="58">
        <v>6.169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64</v>
      </c>
      <c r="W15" s="62">
        <f>(10000*V15)/(198*99.3)</f>
        <v>32.55108995290264</v>
      </c>
      <c r="X15" s="62">
        <f>(W15+'01'!W15+'02'!W15+'03'!W15+'04'!W15+'05'!W15+'06'!W15+'07'!W15+'08'!W15+'09'!W15+'10'!W15+'11'!W15+'12'!W15+'13'!W15+'14'!W15+'15'!W15+'16'!W15+'17'!W15+'18'!W15+'19'!W15+'20'!W15)/21</f>
        <v>6.95101400035942</v>
      </c>
      <c r="Y15" s="59">
        <v>1.535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0.017</v>
      </c>
      <c r="F16" s="59">
        <v>0.238</v>
      </c>
      <c r="G16" s="59">
        <v>0.238</v>
      </c>
      <c r="H16" s="64"/>
      <c r="I16" s="60">
        <f t="shared" si="0"/>
        <v>0.493</v>
      </c>
      <c r="J16" s="58">
        <v>8.298</v>
      </c>
      <c r="K16" s="58">
        <v>8.298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24</v>
      </c>
      <c r="W16" s="62">
        <f>(10000*V16)/(41.4*99)</f>
        <v>58.55658029571074</v>
      </c>
      <c r="X16" s="62">
        <f>(W16+'01'!W16+'02'!W16+'03'!W16+'04'!W16+'05'!W16+'06'!W16+'07'!W16+'08'!W16+'09'!W16+'10'!W16+'11'!W16+'12'!W16+'13'!W16+'14'!W16+'15'!W16+'16'!W16+'17'!W16+'18'!W16+'19'!W16+'20'!W16)/21</f>
        <v>70.98823523944299</v>
      </c>
      <c r="Y16" s="59">
        <v>0.122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0.120084</v>
      </c>
      <c r="F17" s="59">
        <v>0.12645</v>
      </c>
      <c r="G17" s="59">
        <v>0.12286</v>
      </c>
      <c r="H17" s="64"/>
      <c r="I17" s="60">
        <f t="shared" si="0"/>
        <v>0.369394</v>
      </c>
      <c r="J17" s="58">
        <v>6.6931329999999996</v>
      </c>
      <c r="K17" s="58">
        <v>6.6931329999999996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16.8</v>
      </c>
      <c r="W17" s="62"/>
      <c r="X17" s="62">
        <f>(W17+'01'!W17+'02'!W17+'03'!W17+'04'!W17+'05'!W17+'06'!W17+'07'!W17+'08'!W17+'09'!W17+'10'!W17+'11'!W17+'12'!W17+'13'!W17+'14'!W17+'15'!W17+'16'!W17+'17'!W17+'18'!W17+'19'!W17+'20'!W17)/21</f>
        <v>0</v>
      </c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0.050972</v>
      </c>
      <c r="F18" s="58">
        <v>0.048374</v>
      </c>
      <c r="G18" s="58">
        <v>0.052772</v>
      </c>
      <c r="H18" s="64"/>
      <c r="I18" s="60">
        <f t="shared" si="0"/>
        <v>0.152118</v>
      </c>
      <c r="J18" s="58">
        <v>2.912388</v>
      </c>
      <c r="K18" s="58">
        <v>2.912388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6.8</v>
      </c>
      <c r="W18" s="62"/>
      <c r="X18" s="62">
        <f>(W18+'01'!W18+'02'!W18+'03'!W18+'04'!W18+'05'!W18+'06'!W18+'07'!W18+'08'!W18+'09'!W18+'10'!W18+'11'!W18+'12'!W18+'13'!W18+'14'!W18+'15'!W18+'16'!W18+'17'!W18+'18'!W18+'19'!W18+'20'!W18)/21</f>
        <v>0</v>
      </c>
      <c r="Y18" s="59">
        <v>0.035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56</v>
      </c>
      <c r="F19" s="65" t="s">
        <v>56</v>
      </c>
      <c r="G19" s="58" t="s">
        <v>56</v>
      </c>
      <c r="H19" s="58">
        <v>0.01566</v>
      </c>
      <c r="I19" s="60">
        <f t="shared" si="0"/>
        <v>0.01566</v>
      </c>
      <c r="J19" s="58">
        <v>0.46372</v>
      </c>
      <c r="K19" s="58">
        <v>0.46372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>
        <f>(W19+'01'!W19+'02'!W19+'03'!W19+'04'!W19+'05'!W19+'06'!W19+'07'!W19+'08'!W19+'09'!W19+'10'!W19+'11'!W19+'12'!W19+'13'!W19+'14'!W19+'15'!W19+'16'!W19+'17'!W19+'18'!W19+'19'!W19+'20'!W19)/21</f>
        <v>0</v>
      </c>
      <c r="Y19" s="59">
        <v>0.0021</v>
      </c>
      <c r="Z19" s="63"/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65">
        <v>0.00168</v>
      </c>
      <c r="F20" s="58" t="s">
        <v>56</v>
      </c>
      <c r="G20" s="64"/>
      <c r="H20" s="64"/>
      <c r="I20" s="60">
        <f t="shared" si="0"/>
        <v>0.00168</v>
      </c>
      <c r="J20" s="58">
        <v>0.09059000000000002</v>
      </c>
      <c r="K20" s="58">
        <v>0.09059000000000002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0.6</v>
      </c>
      <c r="W20" s="60"/>
      <c r="X20" s="62">
        <f>(W20+'01'!W20+'02'!W20+'03'!W20+'04'!W20+'05'!W20+'06'!W20+'07'!W20+'08'!W20+'09'!W20+'10'!W20+'11'!W20+'12'!W20+'13'!W20+'14'!W20+'15'!W20+'16'!W20+'17'!W20+'18'!W20+'19'!W20+'20'!W20)/21</f>
        <v>0</v>
      </c>
      <c r="Y20" s="59">
        <v>0.000236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0.016</v>
      </c>
      <c r="F21" s="59">
        <v>0.022</v>
      </c>
      <c r="G21" s="64"/>
      <c r="H21" s="64"/>
      <c r="I21" s="60">
        <f t="shared" si="0"/>
        <v>0.038</v>
      </c>
      <c r="J21" s="58">
        <v>0.6610000000000003</v>
      </c>
      <c r="K21" s="58">
        <v>0.6610000000000003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1.8</v>
      </c>
      <c r="W21" s="60"/>
      <c r="X21" s="62">
        <f>(W21+'01'!W21+'02'!W21+'03'!W21+'04'!W21+'05'!W21+'06'!W21+'07'!W21+'08'!W21+'09'!W21+'10'!W21+'11'!W21+'12'!W21+'13'!W21+'14'!W21+'15'!W21+'16'!W21+'17'!W21+'18'!W21+'19'!W21+'20'!W21)/21</f>
        <v>0</v>
      </c>
      <c r="Y21" s="59">
        <v>0.01034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>
        <v>0.024192</v>
      </c>
      <c r="F22" s="59">
        <v>0.018556</v>
      </c>
      <c r="G22" s="64"/>
      <c r="H22" s="64"/>
      <c r="I22" s="60">
        <f t="shared" si="0"/>
        <v>0.042748</v>
      </c>
      <c r="J22" s="58">
        <v>0.205318</v>
      </c>
      <c r="K22" s="58">
        <v>0.205318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2</v>
      </c>
      <c r="W22" s="60"/>
      <c r="X22" s="62">
        <f>(W22+'01'!W22+'02'!W22+'03'!W22+'04'!W22+'05'!W22+'06'!W22+'07'!W22+'08'!W22+'09'!W22+'10'!W22+'11'!W22+'12'!W22+'13'!W22+'14'!W22+'15'!W22+'16'!W22+'17'!W22+'18'!W22+'19'!W22+'20'!W22)/21</f>
        <v>0</v>
      </c>
      <c r="Y22" s="59">
        <v>0.0111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0.022956</v>
      </c>
      <c r="F23" s="59" t="s">
        <v>56</v>
      </c>
      <c r="G23" s="64"/>
      <c r="H23" s="64" t="s">
        <v>49</v>
      </c>
      <c r="I23" s="60">
        <f t="shared" si="0"/>
        <v>0.022956</v>
      </c>
      <c r="J23" s="58">
        <v>0.48948800000000003</v>
      </c>
      <c r="K23" s="58">
        <v>0.48948800000000003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1.5</v>
      </c>
      <c r="W23" s="60"/>
      <c r="X23" s="62">
        <f>(W23+'01'!W23+'02'!W23+'03'!W23+'04'!W23+'05'!W23+'06'!W23+'07'!W23+'08'!W23+'09'!W23+'10'!W23+'11'!W23+'12'!W23+'13'!W23+'14'!W23+'15'!W23+'16'!W23+'17'!W23+'18'!W23+'19'!W23+'20'!W23)/21</f>
        <v>0</v>
      </c>
      <c r="Y23" s="59">
        <v>0.0085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>
        <v>0.3121</v>
      </c>
      <c r="F24" s="59" t="s">
        <v>56</v>
      </c>
      <c r="G24" s="64"/>
      <c r="H24" s="64"/>
      <c r="I24" s="60">
        <f t="shared" si="0"/>
        <v>0.3121</v>
      </c>
      <c r="J24" s="58">
        <v>4.9946</v>
      </c>
      <c r="K24" s="58">
        <v>4.9946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0.31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0.026667</v>
      </c>
      <c r="F25" s="59" t="s">
        <v>56</v>
      </c>
      <c r="G25" s="64"/>
      <c r="H25" s="64"/>
      <c r="I25" s="60">
        <f t="shared" si="0"/>
        <v>0.026667</v>
      </c>
      <c r="J25" s="58">
        <v>0.8343700000000001</v>
      </c>
      <c r="K25" s="58">
        <v>0.8343700000000001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1.7</v>
      </c>
      <c r="W25" s="59"/>
      <c r="X25" s="62"/>
      <c r="Y25" s="59">
        <v>0.0101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8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12.073409400000001</v>
      </c>
      <c r="J27" s="61">
        <f>SUM(J7:J26)</f>
        <v>189.59030099999998</v>
      </c>
      <c r="K27" s="61">
        <f>SUM(K7:K26)</f>
        <v>189.59030099999998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798.9</v>
      </c>
      <c r="W27" s="60"/>
      <c r="X27" s="60"/>
      <c r="Y27" s="60">
        <f>SUM(Y7:Y26)</f>
        <v>4.782976000000001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84"/>
      <c r="K31" s="84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85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86"/>
      <c r="K34" s="87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6">
      <selection activeCell="V7" sqref="V7:V26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6" customWidth="1"/>
    <col min="11" max="11" width="29.00390625" style="46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141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83"/>
      <c r="K4" s="83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142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101" t="s">
        <v>4</v>
      </c>
      <c r="K5" s="101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101"/>
      <c r="K6" s="101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0.5061248</v>
      </c>
      <c r="F7" s="58" t="s">
        <v>81</v>
      </c>
      <c r="G7" s="58">
        <v>0.7149328</v>
      </c>
      <c r="H7" s="58" t="s">
        <v>51</v>
      </c>
      <c r="I7" s="60">
        <f aca="true" t="shared" si="0" ref="I7:I26">SUM(E7:H7)</f>
        <v>1.2210576</v>
      </c>
      <c r="J7" s="58">
        <v>27.366237599999998</v>
      </c>
      <c r="K7" s="58">
        <v>27.366237599999998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(W7+'01'!W7+'02'!W7+'03'!W7+'04'!W7+'05'!W7+'06'!W7+'07'!W7+'08'!W7+'09'!W7+'10'!W7+'11'!W7+'12'!W7+'13'!W7+'14'!W7+'15'!W7+'16'!W7+'17'!W7+'18'!W7+'19'!W7+'20'!W7+'21'!W7)/22</f>
        <v>44.28137651821862</v>
      </c>
      <c r="Y7" s="59">
        <v>0.345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0.03216</v>
      </c>
      <c r="F8" s="58">
        <v>0.45622</v>
      </c>
      <c r="G8" s="58">
        <v>0.14958</v>
      </c>
      <c r="H8" s="58" t="s">
        <v>56</v>
      </c>
      <c r="I8" s="60">
        <f t="shared" si="0"/>
        <v>0.6379600000000001</v>
      </c>
      <c r="J8" s="58">
        <v>14.347563999999998</v>
      </c>
      <c r="K8" s="58">
        <v>14.347563999999998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53</v>
      </c>
      <c r="W8" s="62">
        <f>(10000*V8)/(120*99)</f>
        <v>44.612794612794616</v>
      </c>
      <c r="X8" s="62">
        <f>(W8+'01'!W8+'02'!W8+'03'!W8+'04'!W8+'05'!W8+'06'!W8+'07'!W8+'08'!W8+'09'!W8+'10'!W8+'11'!W8+'12'!W8+'13'!W8+'14'!W8+'15'!W8+'16'!W8+'17'!W8+'18'!W8+'19'!W8+'20'!W8+'21'!W8)/22</f>
        <v>45.03367003367004</v>
      </c>
      <c r="Y8" s="59">
        <v>0.172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0.0843</v>
      </c>
      <c r="G9" s="58">
        <v>0.1462</v>
      </c>
      <c r="H9" s="64"/>
      <c r="I9" s="60">
        <f t="shared" si="0"/>
        <v>0.23049999999999998</v>
      </c>
      <c r="J9" s="58">
        <v>5.1815</v>
      </c>
      <c r="K9" s="58">
        <v>5.1815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</v>
      </c>
      <c r="W9" s="62">
        <f>(10000*V9)/(33.75*99.3)</f>
        <v>53.70929842228936</v>
      </c>
      <c r="X9" s="62">
        <f>(W9+'01'!W9+'02'!W9+'03'!W9+'04'!W9+'05'!W9+'06'!W9+'07'!W9+'08'!W9+'09'!W9+'10'!W9+'11'!W9+'12'!W9+'13'!W9+'14'!W9+'15'!W9+'16'!W9+'17'!W9+'18'!W9+'19'!W9+'20'!W9+'21'!W9)/22</f>
        <v>54.929964295523206</v>
      </c>
      <c r="Y9" s="59">
        <v>0.056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>
        <v>0.13968</v>
      </c>
      <c r="F10" s="58">
        <v>0.24324</v>
      </c>
      <c r="G10" s="59" t="s">
        <v>81</v>
      </c>
      <c r="H10" s="64"/>
      <c r="I10" s="60">
        <f t="shared" si="0"/>
        <v>0.38292000000000004</v>
      </c>
      <c r="J10" s="58">
        <v>8.533529999999999</v>
      </c>
      <c r="K10" s="58">
        <v>8.533529999999999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</v>
      </c>
      <c r="W10" s="62">
        <f>(10000*V10)/(51*99.3)</f>
        <v>63.18740990857572</v>
      </c>
      <c r="X10" s="62">
        <f>(W10+'01'!W10+'02'!W10+'03'!W10+'04'!W10+'05'!W10+'06'!W10+'07'!W10+'08'!W10+'09'!W10+'10'!W10+'11'!W10+'12'!W10+'13'!W10+'14'!W10+'15'!W10+'16'!W10+'17'!W10+'18'!W10+'19'!W10+'20'!W10+'21'!W10)/22</f>
        <v>64.08495834477706</v>
      </c>
      <c r="Y10" s="59">
        <v>0.11</v>
      </c>
      <c r="Z10" s="63" t="s">
        <v>134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0.09072</v>
      </c>
      <c r="F11" s="59" t="s">
        <v>51</v>
      </c>
      <c r="G11" s="59">
        <v>0.18744</v>
      </c>
      <c r="H11" s="64" t="s">
        <v>49</v>
      </c>
      <c r="I11" s="60">
        <f>SUM(E11:H11)</f>
        <v>0.27815999999999996</v>
      </c>
      <c r="J11" s="58">
        <v>5.94576</v>
      </c>
      <c r="K11" s="58">
        <v>5.94576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(W11+'01'!W11+'02'!W11+'03'!W11+'04'!W11+'05'!W11+'06'!W11+'07'!W11+'08'!W11+'09'!W11+'10'!W11+'11'!W11+'12'!W11+'13'!W11+'14'!W11+'15'!W11+'16'!W11+'17'!W11+'18'!W11+'19'!W11+'20'!W11+'21'!W11)/22</f>
        <v>67.13662302786172</v>
      </c>
      <c r="Y11" s="59">
        <v>0.055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0.580362</v>
      </c>
      <c r="F12" s="58">
        <v>0.581099</v>
      </c>
      <c r="G12" s="58" t="s">
        <v>51</v>
      </c>
      <c r="H12" s="64"/>
      <c r="I12" s="60">
        <f t="shared" si="0"/>
        <v>1.161461</v>
      </c>
      <c r="J12" s="58">
        <v>18.773161</v>
      </c>
      <c r="K12" s="58">
        <v>18.773161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(W12+'01'!W12+'02'!W12+'03'!W12+'04'!W12+'05'!W12+'06'!W12+'07'!W12+'08'!W12+'09'!W12+'10'!W12+'11'!W12+'12'!W12+'13'!W12+'14'!W12+'15'!W12+'16'!W12+'17'!W12+'18'!W12+'19'!W12+'20'!W12+'21'!W12)/22</f>
        <v>73.79942425259642</v>
      </c>
      <c r="Y12" s="59">
        <v>0.3434</v>
      </c>
      <c r="Z12" s="63" t="s">
        <v>93</v>
      </c>
    </row>
    <row r="13" spans="1:26" s="46" customFormat="1" ht="64.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0.338</v>
      </c>
      <c r="F13" s="58" t="s">
        <v>51</v>
      </c>
      <c r="G13" s="58">
        <v>0.47</v>
      </c>
      <c r="H13" s="58">
        <v>1.326</v>
      </c>
      <c r="I13" s="60">
        <f t="shared" si="0"/>
        <v>2.1340000000000003</v>
      </c>
      <c r="J13" s="58">
        <v>42.673</v>
      </c>
      <c r="K13" s="58">
        <v>42.673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(W13+'01'!W13+'02'!W13+'03'!W13+'04'!W13+'05'!W13+'06'!W13+'07'!W13+'08'!W13+'09'!W13+'10'!W13+'11'!W13+'12'!W13+'13'!W13+'14'!W13+'15'!W13+'16'!W13+'17'!W13+'18'!W13+'19'!W13+'20'!W13+'21'!W13)/22</f>
        <v>73.06920883475905</v>
      </c>
      <c r="Y13" s="59">
        <v>0.688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0.663</v>
      </c>
      <c r="F14" s="58">
        <v>0.672</v>
      </c>
      <c r="G14" s="58" t="s">
        <v>51</v>
      </c>
      <c r="H14" s="58">
        <v>0.499</v>
      </c>
      <c r="I14" s="60">
        <f t="shared" si="0"/>
        <v>1.834</v>
      </c>
      <c r="J14" s="58">
        <v>42.838</v>
      </c>
      <c r="K14" s="58">
        <v>42.838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94</v>
      </c>
      <c r="W14" s="62">
        <f>(10000*V14)/(144*99)</f>
        <v>65.9371492704826</v>
      </c>
      <c r="X14" s="62">
        <f>(W14+'01'!W14+'02'!W14+'03'!W14+'04'!W14+'05'!W14+'06'!W14+'07'!W14+'08'!W14+'09'!W14+'10'!W14+'11'!W14+'12'!W14+'13'!W14+'14'!W14+'15'!W14+'16'!W14+'17'!W14+'18'!W14+'19'!W14+'20'!W14+'21'!W14)/22</f>
        <v>65.10815222936436</v>
      </c>
      <c r="Y14" s="59">
        <v>0.66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>
        <v>0.768</v>
      </c>
      <c r="F15" s="59">
        <v>0.767</v>
      </c>
      <c r="G15" s="59" t="s">
        <v>56</v>
      </c>
      <c r="H15" s="64"/>
      <c r="I15" s="60">
        <f t="shared" si="0"/>
        <v>1.5350000000000001</v>
      </c>
      <c r="J15" s="58">
        <v>7.704</v>
      </c>
      <c r="K15" s="58">
        <v>7.704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64</v>
      </c>
      <c r="W15" s="62">
        <f>(10000*V15)/(198*99.3)</f>
        <v>32.55108995290264</v>
      </c>
      <c r="X15" s="62">
        <f>(W15+'01'!W15+'02'!W15+'03'!W15+'04'!W15+'05'!W15+'06'!W15+'07'!W15+'08'!W15+'09'!W15+'10'!W15+'11'!W15+'12'!W15+'13'!W15+'14'!W15+'15'!W15+'16'!W15+'17'!W15+'18'!W15+'19'!W15+'20'!W15+'21'!W15)/22</f>
        <v>8.114653816384111</v>
      </c>
      <c r="Y15" s="59">
        <v>1.535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0.05</v>
      </c>
      <c r="F16" s="59">
        <v>0.254</v>
      </c>
      <c r="G16" s="59">
        <v>0.154</v>
      </c>
      <c r="H16" s="64"/>
      <c r="I16" s="60">
        <f t="shared" si="0"/>
        <v>0.45799999999999996</v>
      </c>
      <c r="J16" s="58">
        <v>8.756</v>
      </c>
      <c r="K16" s="58">
        <v>8.756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30</v>
      </c>
      <c r="W16" s="62">
        <f>(10000*V16)/(41.4*99)</f>
        <v>73.19572536963842</v>
      </c>
      <c r="X16" s="62">
        <f>(W16+'01'!W16+'02'!W16+'03'!W16+'04'!W16+'05'!W16+'06'!W16+'07'!W16+'08'!W16+'09'!W16+'10'!W16+'11'!W16+'12'!W16+'13'!W16+'14'!W16+'15'!W16+'16'!W16+'17'!W16+'18'!W16+'19'!W16+'20'!W16+'21'!W16)/22</f>
        <v>71.08857569990641</v>
      </c>
      <c r="Y16" s="59">
        <v>0.136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0.130846</v>
      </c>
      <c r="F17" s="59">
        <v>0.132947</v>
      </c>
      <c r="G17" s="59">
        <v>0.129674</v>
      </c>
      <c r="H17" s="64"/>
      <c r="I17" s="60">
        <f t="shared" si="0"/>
        <v>0.393467</v>
      </c>
      <c r="J17" s="58">
        <v>7.0866</v>
      </c>
      <c r="K17" s="58">
        <v>7.0866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19.3</v>
      </c>
      <c r="W17" s="62"/>
      <c r="X17" s="62">
        <f>(W17+'01'!W17+'02'!W17+'03'!W17+'04'!W17+'05'!W17+'06'!W17+'07'!W17+'08'!W17+'09'!W17+'10'!W17+'11'!W17+'12'!W17+'13'!W17+'14'!W17+'15'!W17+'16'!W17+'17'!W17+'18'!W17+'19'!W17+'20'!W17+'21'!W17)/22</f>
        <v>0</v>
      </c>
      <c r="Y17" s="59">
        <v>0.065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0.053641</v>
      </c>
      <c r="F18" s="58">
        <v>0.050774</v>
      </c>
      <c r="G18" s="58">
        <v>0.055022</v>
      </c>
      <c r="H18" s="64"/>
      <c r="I18" s="60">
        <f t="shared" si="0"/>
        <v>0.159437</v>
      </c>
      <c r="J18" s="58">
        <v>3.071825</v>
      </c>
      <c r="K18" s="58">
        <v>3.071825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7.7</v>
      </c>
      <c r="W18" s="62"/>
      <c r="X18" s="62">
        <f>(W18+'01'!W18+'02'!W18+'03'!W18+'04'!W18+'05'!W18+'06'!W18+'07'!W18+'08'!W18+'09'!W18+'10'!W18+'11'!W18+'12'!W18+'13'!W18+'14'!W18+'15'!W18+'16'!W18+'17'!W18+'18'!W18+'19'!W18+'20'!W18+'21'!W18)/22</f>
        <v>0</v>
      </c>
      <c r="Y18" s="59">
        <v>0.037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56</v>
      </c>
      <c r="F19" s="65" t="s">
        <v>56</v>
      </c>
      <c r="G19" s="58" t="s">
        <v>56</v>
      </c>
      <c r="H19" s="58">
        <v>0.01074</v>
      </c>
      <c r="I19" s="60">
        <f t="shared" si="0"/>
        <v>0.01074</v>
      </c>
      <c r="J19" s="58">
        <v>0.47446</v>
      </c>
      <c r="K19" s="58">
        <v>0.47446</v>
      </c>
      <c r="L19" s="60"/>
      <c r="M19" s="60"/>
      <c r="N19" s="60"/>
      <c r="O19" s="58">
        <v>0.0015</v>
      </c>
      <c r="P19" s="58"/>
      <c r="Q19" s="59"/>
      <c r="R19" s="59"/>
      <c r="S19" s="59"/>
      <c r="T19" s="59">
        <v>0.0045</v>
      </c>
      <c r="U19" s="60">
        <f t="shared" si="1"/>
        <v>0.006</v>
      </c>
      <c r="V19" s="77">
        <v>0.7</v>
      </c>
      <c r="W19" s="60"/>
      <c r="X19" s="62">
        <f>(W19+'01'!W19+'02'!W19+'03'!W19+'04'!W19+'05'!W19+'06'!W19+'07'!W19+'08'!W19+'09'!W19+'10'!W19+'11'!W19+'12'!W19+'13'!W19+'14'!W19+'15'!W19+'16'!W19+'17'!W19+'18'!W19+'19'!W19+'20'!W19+'21'!W19)/22</f>
        <v>0</v>
      </c>
      <c r="Y19" s="59">
        <v>0.0021</v>
      </c>
      <c r="Z19" s="63" t="s">
        <v>143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65" t="s">
        <v>56</v>
      </c>
      <c r="F20" s="58" t="s">
        <v>56</v>
      </c>
      <c r="G20" s="64"/>
      <c r="H20" s="64"/>
      <c r="I20" s="60">
        <f t="shared" si="0"/>
        <v>0</v>
      </c>
      <c r="J20" s="58">
        <v>0.09059000000000002</v>
      </c>
      <c r="K20" s="58">
        <v>0.09059000000000002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</v>
      </c>
      <c r="W20" s="60"/>
      <c r="X20" s="62">
        <f>(W20+'01'!W20+'02'!W20+'03'!W20+'04'!W20+'05'!W20+'06'!W20+'07'!W20+'08'!W20+'09'!W20+'10'!W20+'11'!W20+'12'!W20+'13'!W20+'14'!W20+'15'!W20+'16'!W20+'17'!W20+'18'!W20+'19'!W20+'20'!W20+'21'!W20)/22</f>
        <v>0</v>
      </c>
      <c r="Y20" s="59">
        <v>0.000236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0.017</v>
      </c>
      <c r="F21" s="59">
        <v>0.022</v>
      </c>
      <c r="G21" s="64"/>
      <c r="H21" s="64"/>
      <c r="I21" s="60">
        <f t="shared" si="0"/>
        <v>0.039</v>
      </c>
      <c r="J21" s="58">
        <v>0.7000000000000003</v>
      </c>
      <c r="K21" s="58">
        <v>0.7000000000000003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1.8</v>
      </c>
      <c r="W21" s="60"/>
      <c r="X21" s="62">
        <f>(W21+'01'!W21+'02'!W21+'03'!W21+'04'!W21+'05'!W21+'06'!W21+'07'!W21+'08'!W21+'09'!W21+'10'!W21+'11'!W21+'12'!W21+'13'!W21+'14'!W21+'15'!W21+'16'!W21+'17'!W21+'18'!W21+'19'!W21+'20'!W21+'21'!W21)/22</f>
        <v>0</v>
      </c>
      <c r="Y21" s="59">
        <v>0.0103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>
        <v>0.022379</v>
      </c>
      <c r="F22" s="59">
        <v>0.016155</v>
      </c>
      <c r="G22" s="64"/>
      <c r="H22" s="64"/>
      <c r="I22" s="60">
        <f t="shared" si="0"/>
        <v>0.038534</v>
      </c>
      <c r="J22" s="58">
        <v>0.243852</v>
      </c>
      <c r="K22" s="58">
        <v>0.243852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2</v>
      </c>
      <c r="W22" s="60"/>
      <c r="X22" s="62">
        <f>(W22+'01'!W22+'02'!W22+'03'!W22+'04'!W22+'05'!W22+'06'!W22+'07'!W22+'08'!W22+'09'!W22+'10'!W22+'11'!W22+'12'!W22+'13'!W22+'14'!W22+'15'!W22+'16'!W22+'17'!W22+'18'!W22+'19'!W22+'20'!W22+'21'!W22)/22</f>
        <v>0</v>
      </c>
      <c r="Y22" s="59">
        <v>0.0111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0.033337</v>
      </c>
      <c r="F23" s="59" t="s">
        <v>56</v>
      </c>
      <c r="G23" s="64"/>
      <c r="H23" s="64" t="s">
        <v>49</v>
      </c>
      <c r="I23" s="60">
        <f t="shared" si="0"/>
        <v>0.033337</v>
      </c>
      <c r="J23" s="58">
        <v>0.522825</v>
      </c>
      <c r="K23" s="58">
        <v>0.522825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1.5</v>
      </c>
      <c r="W23" s="60"/>
      <c r="X23" s="62">
        <f>(W23+'01'!W23+'02'!W23+'03'!W23+'04'!W23+'05'!W23+'06'!W23+'07'!W23+'08'!W23+'09'!W23+'10'!W23+'11'!W23+'12'!W23+'13'!W23+'14'!W23+'15'!W23+'16'!W23+'17'!W23+'18'!W23+'19'!W23+'20'!W23+'21'!W23)/22</f>
        <v>0</v>
      </c>
      <c r="Y23" s="59">
        <v>0.00855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56</v>
      </c>
      <c r="F24" s="59">
        <v>0.3068</v>
      </c>
      <c r="G24" s="64"/>
      <c r="H24" s="64"/>
      <c r="I24" s="60">
        <f t="shared" si="0"/>
        <v>0.3068</v>
      </c>
      <c r="J24" s="58">
        <v>5.3014</v>
      </c>
      <c r="K24" s="58">
        <v>5.3014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0.308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0.037481</v>
      </c>
      <c r="F25" s="59" t="s">
        <v>56</v>
      </c>
      <c r="G25" s="64"/>
      <c r="H25" s="64"/>
      <c r="I25" s="60">
        <f t="shared" si="0"/>
        <v>0.037481</v>
      </c>
      <c r="J25" s="58">
        <v>0.871851</v>
      </c>
      <c r="K25" s="58">
        <v>0.871851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1.8</v>
      </c>
      <c r="W25" s="59"/>
      <c r="X25" s="62"/>
      <c r="Y25" s="59">
        <v>0.0093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8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10.8918546</v>
      </c>
      <c r="J27" s="61">
        <f>SUM(J7:J26)</f>
        <v>200.48215559999997</v>
      </c>
      <c r="K27" s="61">
        <f>SUM(K7:K26)</f>
        <v>200.48215559999997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0.0015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0.0045</v>
      </c>
      <c r="U27" s="61">
        <f t="shared" si="2"/>
        <v>0.006</v>
      </c>
      <c r="V27" s="78">
        <f t="shared" si="2"/>
        <v>807.8</v>
      </c>
      <c r="W27" s="60"/>
      <c r="X27" s="60"/>
      <c r="Y27" s="60">
        <f>SUM(Y7:Y26)</f>
        <v>4.551985999999999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84"/>
      <c r="K31" s="84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85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86"/>
      <c r="K34" s="87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6">
      <selection activeCell="V7" sqref="V7:V26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6" customWidth="1"/>
    <col min="11" max="11" width="29.00390625" style="46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83"/>
      <c r="K4" s="83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145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101" t="s">
        <v>4</v>
      </c>
      <c r="K5" s="101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101"/>
      <c r="K6" s="101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0.54216</v>
      </c>
      <c r="F7" s="58" t="s">
        <v>81</v>
      </c>
      <c r="G7" s="58">
        <v>0.9081808</v>
      </c>
      <c r="H7" s="58" t="s">
        <v>51</v>
      </c>
      <c r="I7" s="60">
        <f aca="true" t="shared" si="0" ref="I7:I26">SUM(E7:H7)</f>
        <v>1.4503408</v>
      </c>
      <c r="J7" s="58">
        <v>28.816578399999997</v>
      </c>
      <c r="K7" s="58">
        <v>28.816578399999997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(W7+'01'!W7+'02'!W7+'03'!W7+'04'!W7+'05'!W7+'06'!W7+'07'!W7+'08'!W7+'09'!W7+'10'!W7+'11'!W7+'12'!W7+'13'!W7+'14'!W7+'15'!W7+'16'!W7+'17'!W7+'18'!W7+'19'!W7+'20'!W7+'21'!W7+'22'!W7)/23</f>
        <v>44.28137651821862</v>
      </c>
      <c r="Y7" s="59">
        <v>0.34216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 t="s">
        <v>56</v>
      </c>
      <c r="F8" s="58">
        <v>0.5848</v>
      </c>
      <c r="G8" s="58">
        <v>0.03164</v>
      </c>
      <c r="H8" s="58">
        <v>0.15152</v>
      </c>
      <c r="I8" s="60">
        <f t="shared" si="0"/>
        <v>0.76796</v>
      </c>
      <c r="J8" s="58">
        <v>15.115523999999999</v>
      </c>
      <c r="K8" s="58">
        <v>15.115523999999999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54</v>
      </c>
      <c r="W8" s="62">
        <f>(10000*V8)/(120*99)</f>
        <v>45.45454545454545</v>
      </c>
      <c r="X8" s="62">
        <f>(W8+'01'!W8+'02'!W8+'03'!W8+'04'!W8+'05'!W8+'06'!W8+'07'!W8+'08'!W8+'09'!W8+'10'!W8+'11'!W8+'12'!W8+'13'!W8+'14'!W8+'15'!W8+'16'!W8+'17'!W8+'18'!W8+'19'!W8+'20'!W8+'21'!W8+'22'!W8)/23</f>
        <v>45.05196896501245</v>
      </c>
      <c r="Y8" s="59">
        <v>0.17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0.1591</v>
      </c>
      <c r="G9" s="58">
        <v>0.103</v>
      </c>
      <c r="H9" s="64"/>
      <c r="I9" s="60">
        <f t="shared" si="0"/>
        <v>0.2621</v>
      </c>
      <c r="J9" s="58">
        <v>5.4436</v>
      </c>
      <c r="K9" s="58">
        <v>5.4436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</v>
      </c>
      <c r="W9" s="62">
        <f>(10000*V9)/(33.75*99.3)</f>
        <v>53.70929842228936</v>
      </c>
      <c r="X9" s="62">
        <f>(W9+'01'!W9+'02'!W9+'03'!W9+'04'!W9+'05'!W9+'06'!W9+'07'!W9+'08'!W9+'09'!W9+'10'!W9+'11'!W9+'12'!W9+'13'!W9+'14'!W9+'15'!W9+'16'!W9+'17'!W9+'18'!W9+'19'!W9+'20'!W9+'21'!W9+'22'!W9)/23</f>
        <v>54.876891866252166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>
        <v>0.18228</v>
      </c>
      <c r="F10" s="58">
        <v>0.282</v>
      </c>
      <c r="G10" s="59" t="s">
        <v>81</v>
      </c>
      <c r="H10" s="64"/>
      <c r="I10" s="60">
        <f t="shared" si="0"/>
        <v>0.46427999999999997</v>
      </c>
      <c r="J10" s="58">
        <v>8.99781</v>
      </c>
      <c r="K10" s="58">
        <v>8.99781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</v>
      </c>
      <c r="W10" s="62">
        <f>(10000*V10)/(51*99.3)</f>
        <v>63.18740990857572</v>
      </c>
      <c r="X10" s="62">
        <f>(W10+'01'!W10+'02'!W10+'03'!W10+'04'!W10+'05'!W10+'06'!W10+'07'!W10+'08'!W10+'09'!W10+'10'!W10+'11'!W10+'12'!W10+'13'!W10+'14'!W10+'15'!W10+'16'!W10+'17'!W10+'18'!W10+'19'!W10+'20'!W10+'21'!W10+'22'!W10)/23</f>
        <v>64.04593449972482</v>
      </c>
      <c r="Y10" s="59">
        <v>0.105</v>
      </c>
      <c r="Z10" s="63" t="s">
        <v>134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0.10944</v>
      </c>
      <c r="F11" s="59" t="s">
        <v>51</v>
      </c>
      <c r="G11" s="59">
        <v>0.19134</v>
      </c>
      <c r="H11" s="64" t="s">
        <v>49</v>
      </c>
      <c r="I11" s="60">
        <f>SUM(E11:H11)</f>
        <v>0.30078</v>
      </c>
      <c r="J11" s="58">
        <v>6.2465399999999995</v>
      </c>
      <c r="K11" s="58">
        <v>6.2465399999999995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(W11+'01'!W11+'02'!W11+'03'!W11+'04'!W11+'05'!W11+'06'!W11+'07'!W11+'08'!W11+'09'!W11+'10'!W11+'11'!W11+'12'!W11+'13'!W11+'14'!W11+'15'!W11+'16'!W11+'17'!W11+'18'!W11+'19'!W11+'20'!W11+'21'!W11+'22'!W11)/23</f>
        <v>67.13662302786172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0.620325</v>
      </c>
      <c r="F12" s="58">
        <v>0.620996</v>
      </c>
      <c r="G12" s="58" t="s">
        <v>51</v>
      </c>
      <c r="H12" s="64"/>
      <c r="I12" s="60">
        <f t="shared" si="0"/>
        <v>1.2413210000000001</v>
      </c>
      <c r="J12" s="58">
        <v>20.014482</v>
      </c>
      <c r="K12" s="58">
        <v>20.014482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(W12+'01'!W12+'02'!W12+'03'!W12+'04'!W12+'05'!W12+'06'!W12+'07'!W12+'08'!W12+'09'!W12+'10'!W12+'11'!W12+'12'!W12+'13'!W12+'14'!W12+'15'!W12+'16'!W12+'17'!W12+'18'!W12+'19'!W12+'20'!W12+'21'!W12+'22'!W12)/23</f>
        <v>73.89893505747962</v>
      </c>
      <c r="Y12" s="59">
        <v>0.3434</v>
      </c>
      <c r="Z12" s="63" t="s">
        <v>93</v>
      </c>
    </row>
    <row r="13" spans="1:26" s="46" customFormat="1" ht="64.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1.171</v>
      </c>
      <c r="F13" s="58" t="s">
        <v>51</v>
      </c>
      <c r="G13" s="58">
        <v>0.278</v>
      </c>
      <c r="H13" s="58">
        <v>0.868</v>
      </c>
      <c r="I13" s="60">
        <f t="shared" si="0"/>
        <v>2.317</v>
      </c>
      <c r="J13" s="58">
        <v>44.99</v>
      </c>
      <c r="K13" s="58">
        <v>44.99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(W13+'01'!W13+'02'!W13+'03'!W13+'04'!W13+'05'!W13+'06'!W13+'07'!W13+'08'!W13+'09'!W13+'10'!W13+'11'!W13+'12'!W13+'13'!W13+'14'!W13+'15'!W13+'16'!W13+'17'!W13+'18'!W13+'19'!W13+'20'!W13+'21'!W13+'22'!W13)/23</f>
        <v>73.2005408778864</v>
      </c>
      <c r="Y13" s="59">
        <v>0.687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0.681</v>
      </c>
      <c r="F14" s="58">
        <v>0.698</v>
      </c>
      <c r="G14" s="58" t="s">
        <v>51</v>
      </c>
      <c r="H14" s="58">
        <v>0.484</v>
      </c>
      <c r="I14" s="60">
        <f t="shared" si="0"/>
        <v>1.863</v>
      </c>
      <c r="J14" s="58">
        <v>44.701</v>
      </c>
      <c r="K14" s="58">
        <v>44.701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90</v>
      </c>
      <c r="W14" s="62">
        <f>(10000*V14)/(144*99)</f>
        <v>63.13131313131313</v>
      </c>
      <c r="X14" s="62">
        <f>(W14+'01'!W14+'02'!W14+'03'!W14+'04'!W14+'05'!W14+'06'!W14+'07'!W14+'08'!W14+'09'!W14+'10'!W14+'11'!W14+'12'!W14+'13'!W14+'14'!W14+'15'!W14+'16'!W14+'17'!W14+'18'!W14+'19'!W14+'20'!W14+'21'!W14+'22'!W14)/23</f>
        <v>65.02220270336214</v>
      </c>
      <c r="Y14" s="59">
        <v>0.279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>
        <v>0.768</v>
      </c>
      <c r="F15" s="59">
        <v>0.767</v>
      </c>
      <c r="G15" s="59" t="s">
        <v>56</v>
      </c>
      <c r="H15" s="64"/>
      <c r="I15" s="60">
        <f t="shared" si="0"/>
        <v>1.5350000000000001</v>
      </c>
      <c r="J15" s="58">
        <v>9.239</v>
      </c>
      <c r="K15" s="58">
        <v>9.239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64</v>
      </c>
      <c r="W15" s="62">
        <f>(10000*V15)/(198*99.3)</f>
        <v>32.55108995290264</v>
      </c>
      <c r="X15" s="62">
        <f>(W15+'01'!W15+'02'!W15+'03'!W15+'04'!W15+'05'!W15+'06'!W15+'07'!W15+'08'!W15+'09'!W15+'10'!W15+'11'!W15+'12'!W15+'13'!W15+'14'!W15+'15'!W15+'16'!W15+'17'!W15+'18'!W15+'19'!W15+'20'!W15+'21'!W15+'22'!W15)/23</f>
        <v>9.177107561450134</v>
      </c>
      <c r="Y15" s="59">
        <v>1.535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0.101</v>
      </c>
      <c r="F16" s="59">
        <v>0.283</v>
      </c>
      <c r="G16" s="59">
        <v>0.097</v>
      </c>
      <c r="H16" s="64"/>
      <c r="I16" s="60">
        <f t="shared" si="0"/>
        <v>0.481</v>
      </c>
      <c r="J16" s="58">
        <v>9.237</v>
      </c>
      <c r="K16" s="58">
        <v>9.237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30</v>
      </c>
      <c r="W16" s="62">
        <f>(10000*V16)/(41.4*99)</f>
        <v>73.19572536963842</v>
      </c>
      <c r="X16" s="62">
        <f>(W16+'01'!W16+'02'!W16+'03'!W16+'04'!W16+'05'!W16+'06'!W16+'07'!W16+'08'!W16+'09'!W16+'10'!W16+'11'!W16+'12'!W16+'13'!W16+'14'!W16+'15'!W16+'16'!W16+'17'!W16+'18'!W16+'19'!W16+'20'!W16+'21'!W16+'22'!W16)/23</f>
        <v>71.18019090293824</v>
      </c>
      <c r="Y16" s="59">
        <v>0.144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0.129665</v>
      </c>
      <c r="F17" s="59">
        <v>0.12631</v>
      </c>
      <c r="G17" s="59">
        <v>0.131146</v>
      </c>
      <c r="H17" s="64"/>
      <c r="I17" s="60">
        <f t="shared" si="0"/>
        <v>0.38712100000000005</v>
      </c>
      <c r="J17" s="58">
        <v>7.473720999999999</v>
      </c>
      <c r="K17" s="58">
        <v>7.473720999999999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19.8</v>
      </c>
      <c r="W17" s="62"/>
      <c r="X17" s="62">
        <f>(W17+'01'!W17+'02'!W17+'03'!W17+'04'!W17+'05'!W17+'06'!W17+'07'!W17+'08'!W17+'09'!W17+'10'!W17+'11'!W17+'12'!W17+'13'!W17+'14'!W17+'15'!W17+'16'!W17+'17'!W17+'18'!W17+'19'!W17+'20'!W17+'21'!W17+'22'!W17)/23</f>
        <v>0</v>
      </c>
      <c r="Y17" s="59">
        <v>0.066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0.023511</v>
      </c>
      <c r="F18" s="58">
        <v>0.057606</v>
      </c>
      <c r="G18" s="58">
        <v>0.056532</v>
      </c>
      <c r="H18" s="64"/>
      <c r="I18" s="60">
        <f t="shared" si="0"/>
        <v>0.137649</v>
      </c>
      <c r="J18" s="58">
        <v>3.209474</v>
      </c>
      <c r="K18" s="58">
        <v>3.209474</v>
      </c>
      <c r="L18" s="61"/>
      <c r="M18" s="61"/>
      <c r="N18" s="61"/>
      <c r="O18" s="59">
        <v>0.0128</v>
      </c>
      <c r="P18" s="58"/>
      <c r="Q18" s="59">
        <v>0.01</v>
      </c>
      <c r="R18" s="59"/>
      <c r="S18" s="59"/>
      <c r="T18" s="59"/>
      <c r="U18" s="60">
        <f t="shared" si="1"/>
        <v>0.0228</v>
      </c>
      <c r="V18" s="77">
        <v>7</v>
      </c>
      <c r="W18" s="62"/>
      <c r="X18" s="62">
        <f>(W18+'01'!W18+'02'!W18+'03'!W18+'04'!W18+'05'!W18+'06'!W18+'07'!W18+'08'!W18+'09'!W18+'10'!W18+'11'!W18+'12'!W18+'13'!W18+'14'!W18+'15'!W18+'16'!W18+'17'!W18+'18'!W18+'19'!W18+'20'!W18+'21'!W18+'22'!W18)/23</f>
        <v>0</v>
      </c>
      <c r="Y18" s="59">
        <v>0.032</v>
      </c>
      <c r="Z18" s="63" t="s">
        <v>146</v>
      </c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>
        <v>0.00128</v>
      </c>
      <c r="F19" s="65" t="s">
        <v>56</v>
      </c>
      <c r="G19" s="58" t="s">
        <v>56</v>
      </c>
      <c r="H19" s="58">
        <v>0.01362</v>
      </c>
      <c r="I19" s="60">
        <f t="shared" si="0"/>
        <v>0.0149</v>
      </c>
      <c r="J19" s="58">
        <v>0.48936</v>
      </c>
      <c r="K19" s="58">
        <v>0.48936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>
        <f>(W19+'01'!W19+'02'!W19+'03'!W19+'04'!W19+'05'!W19+'06'!W19+'07'!W19+'08'!W19+'09'!W19+'10'!W19+'11'!W19+'12'!W19+'13'!W19+'14'!W19+'15'!W19+'16'!W19+'17'!W19+'18'!W19+'19'!W19+'20'!W19+'21'!W19+'22'!W19)/23</f>
        <v>0</v>
      </c>
      <c r="Y19" s="59">
        <v>0.0021</v>
      </c>
      <c r="Z19" s="63"/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65" t="s">
        <v>56</v>
      </c>
      <c r="F20" s="58" t="s">
        <v>56</v>
      </c>
      <c r="G20" s="64"/>
      <c r="H20" s="64"/>
      <c r="I20" s="60">
        <f t="shared" si="0"/>
        <v>0</v>
      </c>
      <c r="J20" s="58">
        <v>0.09059000000000002</v>
      </c>
      <c r="K20" s="58">
        <v>0.09059000000000002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</v>
      </c>
      <c r="W20" s="60"/>
      <c r="X20" s="62">
        <f>(W20+'01'!W20+'02'!W20+'03'!W20+'04'!W20+'05'!W20+'06'!W20+'07'!W20+'08'!W20+'09'!W20+'10'!W20+'11'!W20+'12'!W20+'13'!W20+'14'!W20+'15'!W20+'16'!W20+'17'!W20+'18'!W20+'19'!W20+'20'!W20+'21'!W20+'22'!W20)/23</f>
        <v>0</v>
      </c>
      <c r="Y20" s="59">
        <v>0.000236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0.016</v>
      </c>
      <c r="F21" s="59">
        <v>0.02</v>
      </c>
      <c r="G21" s="64"/>
      <c r="H21" s="64"/>
      <c r="I21" s="60">
        <f t="shared" si="0"/>
        <v>0.036000000000000004</v>
      </c>
      <c r="J21" s="58">
        <v>0.7360000000000003</v>
      </c>
      <c r="K21" s="58">
        <v>0.7360000000000003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1.7</v>
      </c>
      <c r="W21" s="60"/>
      <c r="X21" s="62">
        <f>(W21+'01'!W21+'02'!W21+'03'!W21+'04'!W21+'05'!W21+'06'!W21+'07'!W21+'08'!W21+'09'!W21+'10'!W21+'11'!W21+'12'!W21+'13'!W21+'14'!W21+'15'!W21+'16'!W21+'17'!W21+'18'!W21+'19'!W21+'20'!W21+'21'!W21+'22'!W21)/23</f>
        <v>0</v>
      </c>
      <c r="Y21" s="59">
        <v>0.010912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>
        <v>0.022557</v>
      </c>
      <c r="F22" s="59">
        <v>0.019653</v>
      </c>
      <c r="G22" s="64"/>
      <c r="H22" s="64"/>
      <c r="I22" s="60">
        <f t="shared" si="0"/>
        <v>0.04221</v>
      </c>
      <c r="J22" s="58">
        <v>0.28606200000000004</v>
      </c>
      <c r="K22" s="58">
        <v>0.28606200000000004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2</v>
      </c>
      <c r="W22" s="60"/>
      <c r="X22" s="62">
        <f>(W22+'01'!W22+'02'!W22+'03'!W22+'04'!W22+'05'!W22+'06'!W22+'07'!W22+'08'!W22+'09'!W22+'10'!W22+'11'!W22+'12'!W22+'13'!W22+'14'!W22+'15'!W22+'16'!W22+'17'!W22+'18'!W22+'19'!W22+'20'!W22+'21'!W22+'22'!W22)/23</f>
        <v>0</v>
      </c>
      <c r="Y22" s="59">
        <v>0.0111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0.026429</v>
      </c>
      <c r="F23" s="59" t="s">
        <v>56</v>
      </c>
      <c r="G23" s="64"/>
      <c r="H23" s="64" t="s">
        <v>49</v>
      </c>
      <c r="I23" s="60">
        <f t="shared" si="0"/>
        <v>0.026429</v>
      </c>
      <c r="J23" s="58">
        <v>0.549254</v>
      </c>
      <c r="K23" s="58">
        <v>0.549254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1.4</v>
      </c>
      <c r="W23" s="60"/>
      <c r="X23" s="62">
        <f>(W23+'01'!W23+'02'!W23+'03'!W23+'04'!W23+'05'!W23+'06'!W23+'07'!W23+'08'!W23+'09'!W23+'10'!W23+'11'!W23+'12'!W23+'13'!W23+'14'!W23+'15'!W23+'16'!W23+'17'!W23+'18'!W23+'19'!W23+'20'!W23+'21'!W23+'22'!W23)/23</f>
        <v>0</v>
      </c>
      <c r="Y23" s="59">
        <v>0.00795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>
        <v>0.2983</v>
      </c>
      <c r="F24" s="59" t="s">
        <v>56</v>
      </c>
      <c r="G24" s="64"/>
      <c r="H24" s="64"/>
      <c r="I24" s="60">
        <f t="shared" si="0"/>
        <v>0.2983</v>
      </c>
      <c r="J24" s="58">
        <v>5.5997</v>
      </c>
      <c r="K24" s="58">
        <v>5.5997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0.298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0.039423</v>
      </c>
      <c r="F25" s="59" t="s">
        <v>56</v>
      </c>
      <c r="G25" s="64"/>
      <c r="H25" s="64"/>
      <c r="I25" s="60">
        <f t="shared" si="0"/>
        <v>0.039423</v>
      </c>
      <c r="J25" s="58">
        <v>0.911274</v>
      </c>
      <c r="K25" s="58">
        <v>0.911274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2.1</v>
      </c>
      <c r="W25" s="59"/>
      <c r="X25" s="62"/>
      <c r="Y25" s="59">
        <v>0.0126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8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11.664813800000001</v>
      </c>
      <c r="J27" s="61">
        <f>SUM(J7:J26)</f>
        <v>212.14696939999996</v>
      </c>
      <c r="K27" s="61">
        <f>SUM(K7:K26)</f>
        <v>212.14696939999996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0.0128</v>
      </c>
      <c r="P27" s="61">
        <f t="shared" si="2"/>
        <v>0</v>
      </c>
      <c r="Q27" s="61">
        <f t="shared" si="2"/>
        <v>0.01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0.0228</v>
      </c>
      <c r="V27" s="78">
        <f t="shared" si="2"/>
        <v>804.7</v>
      </c>
      <c r="W27" s="60"/>
      <c r="X27" s="60"/>
      <c r="Y27" s="60">
        <f>SUM(Y7:Y26)</f>
        <v>4.151458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84"/>
      <c r="K31" s="84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85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86"/>
      <c r="K34" s="87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tabSelected="1" view="pageBreakPreview" zoomScale="37" zoomScaleNormal="30" zoomScaleSheetLayoutView="37" zoomScalePageLayoutView="0" workbookViewId="0" topLeftCell="A12">
      <selection activeCell="V7" sqref="V7:V26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6" customWidth="1"/>
    <col min="11" max="11" width="29.00390625" style="46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83"/>
      <c r="K4" s="83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148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101" t="s">
        <v>4</v>
      </c>
      <c r="K5" s="101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101"/>
      <c r="K6" s="101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0.345712</v>
      </c>
      <c r="F7" s="58" t="s">
        <v>81</v>
      </c>
      <c r="G7" s="58">
        <v>1.0482352</v>
      </c>
      <c r="H7" s="58" t="s">
        <v>51</v>
      </c>
      <c r="I7" s="60">
        <f aca="true" t="shared" si="0" ref="I7:I26">SUM(E7:H7)</f>
        <v>1.3939472</v>
      </c>
      <c r="J7" s="58">
        <v>30.210525599999997</v>
      </c>
      <c r="K7" s="58">
        <v>30.210525599999997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(W7+'01'!W7+'02'!W7+'03'!W7+'04'!W7+'05'!W7+'06'!W7+'07'!W7+'08'!W7+'09'!W7+'10'!W7+'11'!W7+'12'!W7+'13'!W7+'14'!W7+'15'!W7+'16'!W7+'17'!W7+'18'!W7+'19'!W7+'20'!W7+'21'!W7+'22'!W7+'23'!W7)/24</f>
        <v>44.28137651821862</v>
      </c>
      <c r="Y7" s="59">
        <v>0.34064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 t="s">
        <v>56</v>
      </c>
      <c r="F8" s="58">
        <v>0.62674</v>
      </c>
      <c r="G8" s="58" t="s">
        <v>56</v>
      </c>
      <c r="H8" s="58">
        <v>0.1872</v>
      </c>
      <c r="I8" s="60">
        <f t="shared" si="0"/>
        <v>0.81394</v>
      </c>
      <c r="J8" s="58">
        <v>15.929464</v>
      </c>
      <c r="K8" s="58">
        <v>15.929464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55</v>
      </c>
      <c r="W8" s="62">
        <f>(10000*V8)/(120*99)</f>
        <v>46.2962962962963</v>
      </c>
      <c r="X8" s="62">
        <f>(W8+'01'!W8+'02'!W8+'03'!W8+'04'!W8+'05'!W8+'06'!W8+'07'!W8+'08'!W8+'09'!W8+'10'!W8+'11'!W8+'12'!W8+'13'!W8+'14'!W8+'15'!W8+'16'!W8+'17'!W8+'18'!W8+'19'!W8+'20'!W8+'21'!W8+'22'!W8+'23'!W8)/24</f>
        <v>45.10381593714928</v>
      </c>
      <c r="Y8" s="59">
        <v>0.22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0.1022</v>
      </c>
      <c r="G9" s="58">
        <v>0.1892</v>
      </c>
      <c r="H9" s="64"/>
      <c r="I9" s="60">
        <f t="shared" si="0"/>
        <v>0.2914</v>
      </c>
      <c r="J9" s="58">
        <v>5.735</v>
      </c>
      <c r="K9" s="58">
        <v>5.735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</v>
      </c>
      <c r="W9" s="62">
        <f>(10000*V9)/(33.75*99.3)</f>
        <v>53.70929842228936</v>
      </c>
      <c r="X9" s="62">
        <f>(W9+'01'!W9+'02'!W9+'03'!W9+'04'!W9+'05'!W9+'06'!W9+'07'!W9+'08'!W9+'09'!W9+'10'!W9+'11'!W9+'12'!W9+'13'!W9+'14'!W9+'15'!W9+'16'!W9+'17'!W9+'18'!W9+'19'!W9+'20'!W9+'21'!W9+'22'!W9+'23'!W9)/24</f>
        <v>54.82824213942038</v>
      </c>
      <c r="Y9" s="59">
        <v>0.059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>
        <v>0.17628</v>
      </c>
      <c r="F10" s="58">
        <v>0.30276</v>
      </c>
      <c r="G10" s="59" t="s">
        <v>81</v>
      </c>
      <c r="H10" s="64"/>
      <c r="I10" s="60">
        <f t="shared" si="0"/>
        <v>0.47903999999999997</v>
      </c>
      <c r="J10" s="58">
        <v>9.476849999999999</v>
      </c>
      <c r="K10" s="58">
        <v>9.476849999999999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</v>
      </c>
      <c r="W10" s="62">
        <f>(10000*V10)/(51*99.3)</f>
        <v>63.18740990857572</v>
      </c>
      <c r="X10" s="62">
        <f>(W10+'01'!W10+'02'!W10+'03'!W10+'04'!W10+'05'!W10+'06'!W10+'07'!W10+'08'!W10+'09'!W10+'10'!W10+'11'!W10+'12'!W10+'13'!W10+'14'!W10+'15'!W10+'16'!W10+'17'!W10+'18'!W10+'19'!W10+'20'!W10+'21'!W10+'22'!W10+'23'!W10)/24</f>
        <v>64.01016264176029</v>
      </c>
      <c r="Y10" s="59">
        <v>0.109</v>
      </c>
      <c r="Z10" s="63" t="s">
        <v>134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0.10632</v>
      </c>
      <c r="F11" s="59" t="s">
        <v>51</v>
      </c>
      <c r="G11" s="59">
        <v>0.22038</v>
      </c>
      <c r="H11" s="64" t="s">
        <v>49</v>
      </c>
      <c r="I11" s="60">
        <f>SUM(E11:H11)</f>
        <v>0.3267</v>
      </c>
      <c r="J11" s="58">
        <v>6.573239999999999</v>
      </c>
      <c r="K11" s="58">
        <v>6.573239999999999</v>
      </c>
      <c r="L11" s="60"/>
      <c r="M11" s="60"/>
      <c r="N11" s="60"/>
      <c r="O11" s="59">
        <v>0.0025</v>
      </c>
      <c r="P11" s="59"/>
      <c r="Q11" s="59"/>
      <c r="R11" s="59"/>
      <c r="S11" s="59"/>
      <c r="T11" s="59"/>
      <c r="U11" s="60">
        <f t="shared" si="1"/>
        <v>0.0025</v>
      </c>
      <c r="V11" s="62">
        <v>20</v>
      </c>
      <c r="W11" s="62">
        <f>(10000*V11)/(30*99.3)</f>
        <v>67.1366230278617</v>
      </c>
      <c r="X11" s="62">
        <f>(W11+'01'!W11+'02'!W11+'03'!W11+'04'!W11+'05'!W11+'06'!W11+'07'!W11+'08'!W11+'09'!W11+'10'!W11+'11'!W11+'12'!W11+'13'!W11+'14'!W11+'15'!W11+'16'!W11+'17'!W11+'18'!W11+'19'!W11+'20'!W11+'21'!W11+'22'!W11+'23'!W11)/24</f>
        <v>67.13662302786172</v>
      </c>
      <c r="Y11" s="59">
        <v>0.055</v>
      </c>
      <c r="Z11" s="63" t="s">
        <v>149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0.430571</v>
      </c>
      <c r="F12" s="58">
        <v>0.530535</v>
      </c>
      <c r="G12" s="58" t="s">
        <v>51</v>
      </c>
      <c r="H12" s="64"/>
      <c r="I12" s="60">
        <f t="shared" si="0"/>
        <v>0.961106</v>
      </c>
      <c r="J12" s="58">
        <v>20.975588000000002</v>
      </c>
      <c r="K12" s="58">
        <v>20.975588000000002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(W12+'01'!W12+'02'!W12+'03'!W12+'04'!W12+'05'!W12+'06'!W12+'07'!W12+'08'!W12+'09'!W12+'10'!W12+'11'!W12+'12'!W12+'13'!W12+'14'!W12+'15'!W12+'16'!W12+'17'!W12+'18'!W12+'19'!W12+'20'!W12+'21'!W12+'22'!W12+'23'!W12)/24</f>
        <v>73.9901532952892</v>
      </c>
      <c r="Y12" s="59">
        <v>0.3434</v>
      </c>
      <c r="Z12" s="63" t="s">
        <v>93</v>
      </c>
    </row>
    <row r="13" spans="1:26" s="46" customFormat="1" ht="64.5" customHeight="1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0.804</v>
      </c>
      <c r="F13" s="58" t="s">
        <v>51</v>
      </c>
      <c r="G13" s="58">
        <v>0.273</v>
      </c>
      <c r="H13" s="58">
        <v>0.808</v>
      </c>
      <c r="I13" s="60">
        <f t="shared" si="0"/>
        <v>1.885</v>
      </c>
      <c r="J13" s="58">
        <v>46.875</v>
      </c>
      <c r="K13" s="58">
        <v>46.875</v>
      </c>
      <c r="L13" s="61"/>
      <c r="M13" s="61"/>
      <c r="N13" s="61"/>
      <c r="O13" s="59"/>
      <c r="P13" s="59"/>
      <c r="Q13" s="59"/>
      <c r="R13" s="59"/>
      <c r="S13" s="59" t="s">
        <v>49</v>
      </c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(W13+'01'!W13+'02'!W13+'03'!W13+'04'!W13+'05'!W13+'06'!W13+'07'!W13+'08'!W13+'09'!W13+'10'!W13+'11'!W13+'12'!W13+'13'!W13+'14'!W13+'15'!W13+'16'!W13+'17'!W13+'18'!W13+'19'!W13+'20'!W13+'21'!W13+'22'!W13+'23'!W13)/24</f>
        <v>73.32092858408646</v>
      </c>
      <c r="Y13" s="59">
        <v>0.69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0.515</v>
      </c>
      <c r="F14" s="58">
        <v>0.663</v>
      </c>
      <c r="G14" s="58" t="s">
        <v>51</v>
      </c>
      <c r="H14" s="58">
        <v>0.625</v>
      </c>
      <c r="I14" s="60">
        <f t="shared" si="0"/>
        <v>1.803</v>
      </c>
      <c r="J14" s="58">
        <v>46.504</v>
      </c>
      <c r="K14" s="58">
        <v>46.504</v>
      </c>
      <c r="L14" s="61"/>
      <c r="M14" s="61"/>
      <c r="N14" s="61"/>
      <c r="O14" s="59">
        <v>0.015</v>
      </c>
      <c r="P14" s="59"/>
      <c r="Q14" s="59"/>
      <c r="R14" s="59"/>
      <c r="S14" s="59"/>
      <c r="T14" s="59"/>
      <c r="U14" s="60">
        <f t="shared" si="1"/>
        <v>0.015</v>
      </c>
      <c r="V14" s="62">
        <v>86</v>
      </c>
      <c r="W14" s="62">
        <f>(10000*V14)/(144*99)</f>
        <v>60.325476992143656</v>
      </c>
      <c r="X14" s="62">
        <f>(W14+'01'!W14+'02'!W14+'03'!W14+'04'!W14+'05'!W14+'06'!W14+'07'!W14+'08'!W14+'09'!W14+'10'!W14+'11'!W14+'12'!W14+'13'!W14+'14'!W14+'15'!W14+'16'!W14+'17'!W14+'18'!W14+'19'!W14+'20'!W14+'21'!W14+'22'!W14+'23'!W14)/24</f>
        <v>64.82650579872805</v>
      </c>
      <c r="Y14" s="59">
        <v>0.464</v>
      </c>
      <c r="Z14" s="63" t="s">
        <v>150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>
        <v>0.768</v>
      </c>
      <c r="F15" s="59">
        <v>0.767</v>
      </c>
      <c r="G15" s="59" t="s">
        <v>56</v>
      </c>
      <c r="H15" s="64"/>
      <c r="I15" s="60">
        <f t="shared" si="0"/>
        <v>1.5350000000000001</v>
      </c>
      <c r="J15" s="58">
        <v>10.774000000000001</v>
      </c>
      <c r="K15" s="58">
        <v>10.774000000000001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64</v>
      </c>
      <c r="W15" s="62">
        <f>(10000*V15)/(198*99.3)</f>
        <v>32.55108995290264</v>
      </c>
      <c r="X15" s="62">
        <f>(W15+'01'!W15+'02'!W15+'03'!W15+'04'!W15+'05'!W15+'06'!W15+'07'!W15+'08'!W15+'09'!W15+'10'!W15+'11'!W15+'12'!W15+'13'!W15+'14'!W15+'15'!W15+'16'!W15+'17'!W15+'18'!W15+'19'!W15+'20'!W15+'21'!W15+'22'!W15+'23'!W15)/24</f>
        <v>10.151023494427323</v>
      </c>
      <c r="Y15" s="59">
        <v>1.535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0.209</v>
      </c>
      <c r="F16" s="59">
        <v>0.169</v>
      </c>
      <c r="G16" s="59">
        <v>0.047</v>
      </c>
      <c r="H16" s="64"/>
      <c r="I16" s="60">
        <f t="shared" si="0"/>
        <v>0.425</v>
      </c>
      <c r="J16" s="58">
        <v>9.662</v>
      </c>
      <c r="K16" s="58">
        <v>9.662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18</v>
      </c>
      <c r="W16" s="62">
        <f>(10000*V16)/(41.4*99)</f>
        <v>43.91743522178305</v>
      </c>
      <c r="X16" s="62">
        <f>(W16+'01'!W16+'02'!W16+'03'!W16+'04'!W16+'05'!W16+'06'!W16+'07'!W16+'08'!W16+'09'!W16+'10'!W16+'11'!W16+'12'!W16+'13'!W16+'14'!W16+'15'!W16+'16'!W16+'17'!W16+'18'!W16+'19'!W16+'20'!W16+'21'!W16+'22'!W16+'23'!W16)/24</f>
        <v>70.04424274955677</v>
      </c>
      <c r="Y16" s="59">
        <v>0.092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0.132762</v>
      </c>
      <c r="F17" s="59">
        <v>0.134314</v>
      </c>
      <c r="G17" s="59">
        <v>0.132941</v>
      </c>
      <c r="H17" s="64"/>
      <c r="I17" s="60">
        <f t="shared" si="0"/>
        <v>0.40001699999999996</v>
      </c>
      <c r="J17" s="58">
        <v>7.8737379999999995</v>
      </c>
      <c r="K17" s="58">
        <v>7.8737379999999995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17.8</v>
      </c>
      <c r="W17" s="62"/>
      <c r="X17" s="62">
        <f>(W17+'01'!W17+'02'!W17+'03'!W17+'04'!W17+'05'!W17+'06'!W17+'07'!W17+'08'!W17+'09'!W17+'10'!W17+'11'!W17+'12'!W17+'13'!W17+'14'!W17+'15'!W17+'16'!W17+'17'!W17+'18'!W17+'19'!W17+'20'!W17+'21'!W17+'22'!W17+'23'!W17)/24</f>
        <v>0</v>
      </c>
      <c r="Y17" s="59">
        <v>0.065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 t="s">
        <v>81</v>
      </c>
      <c r="F18" s="58">
        <v>0.057554</v>
      </c>
      <c r="G18" s="58">
        <v>0.055034</v>
      </c>
      <c r="H18" s="64"/>
      <c r="I18" s="60">
        <f t="shared" si="0"/>
        <v>0.112588</v>
      </c>
      <c r="J18" s="58">
        <v>3.3220620000000003</v>
      </c>
      <c r="K18" s="58">
        <v>3.3220620000000003</v>
      </c>
      <c r="L18" s="61"/>
      <c r="M18" s="61"/>
      <c r="N18" s="61"/>
      <c r="O18" s="59">
        <v>0.0235</v>
      </c>
      <c r="P18" s="58"/>
      <c r="Q18" s="59"/>
      <c r="R18" s="59"/>
      <c r="S18" s="59"/>
      <c r="T18" s="59"/>
      <c r="U18" s="60">
        <f t="shared" si="1"/>
        <v>0.0235</v>
      </c>
      <c r="V18" s="77">
        <v>4.9</v>
      </c>
      <c r="W18" s="62"/>
      <c r="X18" s="62">
        <f>(W18+'01'!W18+'02'!W18+'03'!W18+'04'!W18+'05'!W18+'06'!W18+'07'!W18+'08'!W18+'09'!W18+'10'!W18+'11'!W18+'12'!W18+'13'!W18+'14'!W18+'15'!W18+'16'!W18+'17'!W18+'18'!W18+'19'!W18+'20'!W18+'21'!W18+'22'!W18+'23'!W18)/24</f>
        <v>0</v>
      </c>
      <c r="Y18" s="59">
        <v>0.03</v>
      </c>
      <c r="Z18" s="63" t="s">
        <v>151</v>
      </c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56</v>
      </c>
      <c r="F19" s="65" t="s">
        <v>56</v>
      </c>
      <c r="G19" s="58" t="s">
        <v>56</v>
      </c>
      <c r="H19" s="58">
        <v>0.01572</v>
      </c>
      <c r="I19" s="60">
        <f t="shared" si="0"/>
        <v>0.01572</v>
      </c>
      <c r="J19" s="58">
        <v>0.50508</v>
      </c>
      <c r="K19" s="58">
        <v>0.50508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>
        <f>(W19+'01'!W19+'02'!W19+'03'!W19+'04'!W19+'05'!W19+'06'!W19+'07'!W19+'08'!W19+'09'!W19+'10'!W19+'11'!W19+'12'!W19+'13'!W19+'14'!W19+'15'!W19+'16'!W19+'17'!W19+'18'!W19+'19'!W19+'20'!W19+'21'!W19+'22'!W19+'23'!W19)/24</f>
        <v>0</v>
      </c>
      <c r="Y19" s="59">
        <v>0.0021</v>
      </c>
      <c r="Z19" s="63"/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65" t="s">
        <v>56</v>
      </c>
      <c r="F20" s="58" t="s">
        <v>56</v>
      </c>
      <c r="G20" s="64"/>
      <c r="H20" s="64"/>
      <c r="I20" s="60">
        <f t="shared" si="0"/>
        <v>0</v>
      </c>
      <c r="J20" s="58">
        <v>0.09059000000000002</v>
      </c>
      <c r="K20" s="58">
        <v>0.09059000000000002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</v>
      </c>
      <c r="W20" s="60"/>
      <c r="X20" s="62">
        <f>(W20+'01'!W20+'02'!W20+'03'!W20+'04'!W20+'05'!W20+'06'!W20+'07'!W20+'08'!W20+'09'!W20+'10'!W20+'11'!W20+'12'!W20+'13'!W20+'14'!W20+'15'!W20+'16'!W20+'17'!W20+'18'!W20+'19'!W20+'20'!W20+'21'!W20+'22'!W20+'23'!W20)/24</f>
        <v>0</v>
      </c>
      <c r="Y20" s="59">
        <v>0.000236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0.016</v>
      </c>
      <c r="F21" s="59">
        <v>0.021</v>
      </c>
      <c r="G21" s="64"/>
      <c r="H21" s="64"/>
      <c r="I21" s="60">
        <f t="shared" si="0"/>
        <v>0.037000000000000005</v>
      </c>
      <c r="J21" s="58">
        <v>0.7730000000000004</v>
      </c>
      <c r="K21" s="58">
        <v>0.7730000000000004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1.7</v>
      </c>
      <c r="W21" s="60"/>
      <c r="X21" s="62">
        <f>(W21+'01'!W21+'02'!W21+'03'!W21+'04'!W21+'05'!W21+'06'!W21+'07'!W21+'08'!W21+'09'!W21+'10'!W21+'11'!W21+'12'!W21+'13'!W21+'14'!W21+'15'!W21+'16'!W21+'17'!W21+'18'!W21+'19'!W21+'20'!W21+'21'!W21+'22'!W21+'23'!W21)/24</f>
        <v>0</v>
      </c>
      <c r="Y21" s="59">
        <v>0.01034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>
        <v>0.020978</v>
      </c>
      <c r="F22" s="59">
        <v>0.019868</v>
      </c>
      <c r="G22" s="64"/>
      <c r="H22" s="64"/>
      <c r="I22" s="60">
        <f t="shared" si="0"/>
        <v>0.040846</v>
      </c>
      <c r="J22" s="58">
        <v>0.32690800000000003</v>
      </c>
      <c r="K22" s="58">
        <v>0.32690800000000003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2</v>
      </c>
      <c r="W22" s="60"/>
      <c r="X22" s="62">
        <f>(W22+'01'!W22+'02'!W22+'03'!W22+'04'!W22+'05'!W22+'06'!W22+'07'!W22+'08'!W22+'09'!W22+'10'!W22+'11'!W22+'12'!W22+'13'!W22+'14'!W22+'15'!W22+'16'!W22+'17'!W22+'18'!W22+'19'!W22+'20'!W22+'21'!W22+'22'!W22+'23'!W22)/24</f>
        <v>0</v>
      </c>
      <c r="Y22" s="59">
        <v>0.0111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0.025668</v>
      </c>
      <c r="F23" s="59" t="s">
        <v>56</v>
      </c>
      <c r="G23" s="64"/>
      <c r="H23" s="64" t="s">
        <v>49</v>
      </c>
      <c r="I23" s="60">
        <f t="shared" si="0"/>
        <v>0.025668</v>
      </c>
      <c r="J23" s="58">
        <v>0.574922</v>
      </c>
      <c r="K23" s="58">
        <v>0.574922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1.2</v>
      </c>
      <c r="W23" s="60"/>
      <c r="X23" s="62">
        <f>(W23+'01'!W23+'02'!W23+'03'!W23+'04'!W23+'05'!W23+'06'!W23+'07'!W23+'08'!W23+'09'!W23+'10'!W23+'11'!W23+'12'!W23+'13'!W23+'14'!W23+'15'!W23+'16'!W23+'17'!W23+'18'!W23+'19'!W23+'20'!W23+'21'!W23+'22'!W23+'23'!W23)/24</f>
        <v>0</v>
      </c>
      <c r="Y23" s="59">
        <v>0.00685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>
        <v>0.0377</v>
      </c>
      <c r="F24" s="59">
        <v>0.42</v>
      </c>
      <c r="G24" s="64"/>
      <c r="H24" s="64"/>
      <c r="I24" s="60">
        <f t="shared" si="0"/>
        <v>0.4577</v>
      </c>
      <c r="J24" s="58">
        <v>6.0574</v>
      </c>
      <c r="K24" s="58">
        <v>6.0574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90</v>
      </c>
      <c r="W24" s="59"/>
      <c r="X24" s="62"/>
      <c r="Y24" s="59">
        <v>0.458</v>
      </c>
      <c r="Z24" s="63"/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0.044507</v>
      </c>
      <c r="F25" s="59" t="s">
        <v>56</v>
      </c>
      <c r="G25" s="64"/>
      <c r="H25" s="64"/>
      <c r="I25" s="60">
        <f t="shared" si="0"/>
        <v>0.044507</v>
      </c>
      <c r="J25" s="58">
        <v>0.955781</v>
      </c>
      <c r="K25" s="58">
        <v>0.955781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2.1</v>
      </c>
      <c r="W25" s="59"/>
      <c r="X25" s="62"/>
      <c r="Y25" s="59">
        <v>0.123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8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11.0481792</v>
      </c>
      <c r="J27" s="61">
        <f>SUM(J7:J26)</f>
        <v>223.19514859999995</v>
      </c>
      <c r="K27" s="61">
        <f>SUM(K7:K26)</f>
        <v>223.19514859999995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0.040999999999999995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0.040999999999999995</v>
      </c>
      <c r="V27" s="78">
        <f t="shared" si="2"/>
        <v>815.4000000000001</v>
      </c>
      <c r="W27" s="60"/>
      <c r="X27" s="60"/>
      <c r="Y27" s="60">
        <f>SUM(Y7:Y26)</f>
        <v>4.6146660000000015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84"/>
      <c r="K31" s="84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85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86"/>
      <c r="K34" s="87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C33:Z33"/>
    <mergeCell ref="B28:Z28"/>
    <mergeCell ref="A29:Z29"/>
    <mergeCell ref="A30:B30"/>
    <mergeCell ref="C30:Z30"/>
    <mergeCell ref="C31:E31"/>
    <mergeCell ref="C32:J32"/>
    <mergeCell ref="V5:V6"/>
    <mergeCell ref="W5:W6"/>
    <mergeCell ref="X5:X6"/>
    <mergeCell ref="Y5:Y6"/>
    <mergeCell ref="Z5:Z6"/>
    <mergeCell ref="A27:B27"/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42"/>
  <sheetViews>
    <sheetView view="pageBreakPreview" zoomScale="43" zoomScaleSheetLayoutView="43" zoomScalePageLayoutView="0" workbookViewId="0" topLeftCell="A1">
      <pane xSplit="2" topLeftCell="C1" activePane="topRight" state="frozen"/>
      <selection pane="topLeft" activeCell="K5" sqref="K5:K6"/>
      <selection pane="topRight" activeCell="T16" sqref="T16"/>
    </sheetView>
  </sheetViews>
  <sheetFormatPr defaultColWidth="9.140625" defaultRowHeight="12.75"/>
  <cols>
    <col min="1" max="1" width="12.57421875" style="1" customWidth="1"/>
    <col min="2" max="2" width="26.28125" style="1" customWidth="1"/>
    <col min="3" max="3" width="25.57421875" style="1" customWidth="1"/>
    <col min="4" max="10" width="23.00390625" style="1" customWidth="1"/>
    <col min="11" max="12" width="9.140625" style="1" customWidth="1"/>
    <col min="13" max="13" width="35.421875" style="1" customWidth="1"/>
    <col min="14" max="16384" width="9.140625" style="1" customWidth="1"/>
  </cols>
  <sheetData>
    <row r="2" spans="1:10" ht="37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ht="33" customHeight="1">
      <c r="A3" s="106" t="s">
        <v>75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33" customHeight="1" thickBot="1">
      <c r="A4" s="18"/>
      <c r="B4" s="18"/>
      <c r="C4" s="18"/>
      <c r="D4" s="19"/>
      <c r="E4" s="19"/>
      <c r="F4" s="19"/>
      <c r="G4" s="19"/>
      <c r="H4" s="19"/>
      <c r="J4" s="19"/>
    </row>
    <row r="5" spans="1:10" s="3" customFormat="1" ht="78.75" customHeight="1">
      <c r="A5" s="107" t="s">
        <v>0</v>
      </c>
      <c r="B5" s="109" t="s">
        <v>1</v>
      </c>
      <c r="C5" s="109" t="s">
        <v>2</v>
      </c>
      <c r="D5" s="110" t="s">
        <v>9</v>
      </c>
      <c r="E5" s="111"/>
      <c r="F5" s="111"/>
      <c r="G5" s="111"/>
      <c r="H5" s="111"/>
      <c r="I5" s="111"/>
      <c r="J5" s="112"/>
    </row>
    <row r="6" spans="1:10" s="3" customFormat="1" ht="116.25">
      <c r="A6" s="108"/>
      <c r="B6" s="92"/>
      <c r="C6" s="92"/>
      <c r="D6" s="2" t="s">
        <v>15</v>
      </c>
      <c r="E6" s="2" t="s">
        <v>16</v>
      </c>
      <c r="F6" s="2" t="s">
        <v>52</v>
      </c>
      <c r="G6" s="2" t="s">
        <v>53</v>
      </c>
      <c r="H6" s="2" t="s">
        <v>47</v>
      </c>
      <c r="I6" s="2" t="s">
        <v>17</v>
      </c>
      <c r="J6" s="2" t="s">
        <v>14</v>
      </c>
    </row>
    <row r="7" spans="1:10" s="15" customFormat="1" ht="52.5" customHeight="1">
      <c r="A7" s="6">
        <v>1</v>
      </c>
      <c r="B7" s="4" t="s">
        <v>18</v>
      </c>
      <c r="C7" s="24" t="s">
        <v>19</v>
      </c>
      <c r="D7" s="16" t="e">
        <f>#REF!+#REF!+#REF!+#REF!+#REF!+#REF!+#REF!+#REF!</f>
        <v>#REF!</v>
      </c>
      <c r="E7" s="16" t="e">
        <f>#REF!+#REF!+#REF!+#REF!+#REF!+#REF!+#REF!+#REF!</f>
        <v>#REF!</v>
      </c>
      <c r="F7" s="16" t="e">
        <f>#REF!+#REF!+#REF!+#REF!+#REF!+#REF!+#REF!+#REF!</f>
        <v>#REF!</v>
      </c>
      <c r="G7" s="16" t="e">
        <f>#REF!+#REF!+#REF!+#REF!+#REF!+#REF!+#REF!+#REF!</f>
        <v>#REF!</v>
      </c>
      <c r="H7" s="16" t="e">
        <f>#REF!+#REF!+#REF!+#REF!+#REF!+#REF!+#REF!+#REF!</f>
        <v>#REF!</v>
      </c>
      <c r="I7" s="16" t="e">
        <f>#REF!+#REF!+#REF!+#REF!+#REF!+#REF!+#REF!+#REF!</f>
        <v>#REF!</v>
      </c>
      <c r="J7" s="71" t="e">
        <f>SUM(D7:I7)</f>
        <v>#REF!</v>
      </c>
    </row>
    <row r="8" spans="1:10" s="8" customFormat="1" ht="52.5" customHeight="1">
      <c r="A8" s="6">
        <v>2</v>
      </c>
      <c r="B8" s="4" t="s">
        <v>20</v>
      </c>
      <c r="C8" s="24" t="s">
        <v>21</v>
      </c>
      <c r="D8" s="16" t="e">
        <f>#REF!+#REF!+#REF!+#REF!+#REF!+#REF!+#REF!+#REF!</f>
        <v>#REF!</v>
      </c>
      <c r="E8" s="16" t="e">
        <f>#REF!+#REF!+#REF!+#REF!+#REF!+#REF!+#REF!+#REF!</f>
        <v>#REF!</v>
      </c>
      <c r="F8" s="16" t="e">
        <f>#REF!+#REF!+#REF!+#REF!+#REF!+#REF!+#REF!+#REF!</f>
        <v>#REF!</v>
      </c>
      <c r="G8" s="16" t="e">
        <f>#REF!+#REF!+#REF!+#REF!+#REF!+#REF!+#REF!+#REF!</f>
        <v>#REF!</v>
      </c>
      <c r="H8" s="16" t="e">
        <f>#REF!+#REF!+#REF!+#REF!+#REF!+#REF!+#REF!+#REF!</f>
        <v>#REF!</v>
      </c>
      <c r="I8" s="16" t="e">
        <f>#REF!+#REF!+#REF!+#REF!+#REF!+#REF!+#REF!+#REF!</f>
        <v>#REF!</v>
      </c>
      <c r="J8" s="71" t="e">
        <f aca="true" t="shared" si="0" ref="J8:J19">SUM(D8:I8)</f>
        <v>#REF!</v>
      </c>
    </row>
    <row r="9" spans="1:13" s="8" customFormat="1" ht="52.5" customHeight="1">
      <c r="A9" s="6">
        <v>3</v>
      </c>
      <c r="B9" s="4" t="s">
        <v>22</v>
      </c>
      <c r="C9" s="24" t="s">
        <v>23</v>
      </c>
      <c r="D9" s="16" t="e">
        <f>#REF!+#REF!+#REF!+#REF!+#REF!+#REF!+#REF!+#REF!</f>
        <v>#REF!</v>
      </c>
      <c r="E9" s="16" t="e">
        <f>#REF!+#REF!+#REF!+#REF!+#REF!+#REF!+#REF!+#REF!</f>
        <v>#REF!</v>
      </c>
      <c r="F9" s="16" t="e">
        <f>#REF!+#REF!+#REF!+#REF!+#REF!+#REF!+#REF!+#REF!</f>
        <v>#REF!</v>
      </c>
      <c r="G9" s="16" t="e">
        <f>#REF!+#REF!+#REF!+#REF!+#REF!+#REF!+#REF!+#REF!</f>
        <v>#REF!</v>
      </c>
      <c r="H9" s="16" t="e">
        <f>#REF!+#REF!+#REF!+#REF!+#REF!+#REF!+#REF!+#REF!</f>
        <v>#REF!</v>
      </c>
      <c r="I9" s="16" t="e">
        <f>#REF!+#REF!+#REF!+#REF!+#REF!+#REF!+#REF!+#REF!</f>
        <v>#REF!</v>
      </c>
      <c r="J9" s="71" t="e">
        <f t="shared" si="0"/>
        <v>#REF!</v>
      </c>
      <c r="M9" s="29">
        <v>240</v>
      </c>
    </row>
    <row r="10" spans="1:13" s="8" customFormat="1" ht="52.5" customHeight="1">
      <c r="A10" s="6">
        <v>4</v>
      </c>
      <c r="B10" s="4" t="s">
        <v>24</v>
      </c>
      <c r="C10" s="24" t="s">
        <v>25</v>
      </c>
      <c r="D10" s="16" t="e">
        <f>#REF!+#REF!+#REF!+#REF!+#REF!+#REF!+#REF!+#REF!</f>
        <v>#REF!</v>
      </c>
      <c r="E10" s="16" t="e">
        <f>#REF!+#REF!+#REF!+#REF!+#REF!+#REF!+#REF!+#REF!</f>
        <v>#REF!</v>
      </c>
      <c r="F10" s="16" t="e">
        <f>#REF!+#REF!+#REF!+#REF!+#REF!+#REF!+#REF!+#REF!</f>
        <v>#REF!</v>
      </c>
      <c r="G10" s="16" t="e">
        <f>#REF!+#REF!+#REF!+#REF!+#REF!+#REF!+#REF!+#REF!</f>
        <v>#REF!</v>
      </c>
      <c r="H10" s="16" t="e">
        <f>#REF!+#REF!+#REF!+#REF!+#REF!+#REF!+#REF!+#REF!</f>
        <v>#REF!</v>
      </c>
      <c r="I10" s="16" t="e">
        <f>#REF!+#REF!+#REF!+#REF!+#REF!+#REF!+#REF!+#REF!</f>
        <v>#REF!</v>
      </c>
      <c r="J10" s="71" t="e">
        <f t="shared" si="0"/>
        <v>#REF!</v>
      </c>
      <c r="M10" s="29">
        <v>21.23</v>
      </c>
    </row>
    <row r="11" spans="1:13" s="8" customFormat="1" ht="52.5" customHeight="1">
      <c r="A11" s="6">
        <v>5</v>
      </c>
      <c r="B11" s="4" t="s">
        <v>26</v>
      </c>
      <c r="C11" s="24" t="s">
        <v>27</v>
      </c>
      <c r="D11" s="16" t="e">
        <f>#REF!+#REF!+#REF!+#REF!+#REF!+#REF!+#REF!+#REF!</f>
        <v>#REF!</v>
      </c>
      <c r="E11" s="16" t="e">
        <f>#REF!+#REF!+#REF!+#REF!+#REF!+#REF!+#REF!+#REF!</f>
        <v>#REF!</v>
      </c>
      <c r="F11" s="16" t="e">
        <f>#REF!+#REF!+#REF!+#REF!+#REF!+#REF!+#REF!+#REF!</f>
        <v>#REF!</v>
      </c>
      <c r="G11" s="16" t="e">
        <f>#REF!+#REF!+#REF!+#REF!+#REF!+#REF!+#REF!+#REF!</f>
        <v>#REF!</v>
      </c>
      <c r="H11" s="16" t="e">
        <f>#REF!+#REF!+#REF!+#REF!+#REF!+#REF!+#REF!+#REF!</f>
        <v>#REF!</v>
      </c>
      <c r="I11" s="16" t="e">
        <f>#REF!+#REF!+#REF!+#REF!+#REF!+#REF!+#REF!+#REF!</f>
        <v>#REF!</v>
      </c>
      <c r="J11" s="71" t="e">
        <f t="shared" si="0"/>
        <v>#REF!</v>
      </c>
      <c r="M11" s="29">
        <v>180</v>
      </c>
    </row>
    <row r="12" spans="1:13" s="8" customFormat="1" ht="52.5" customHeight="1">
      <c r="A12" s="6">
        <v>6</v>
      </c>
      <c r="B12" s="7" t="s">
        <v>28</v>
      </c>
      <c r="C12" s="25" t="s">
        <v>46</v>
      </c>
      <c r="D12" s="16" t="e">
        <f>#REF!+#REF!+#REF!+#REF!+#REF!+#REF!+#REF!+#REF!</f>
        <v>#REF!</v>
      </c>
      <c r="E12" s="16" t="e">
        <f>#REF!+#REF!+#REF!+#REF!+#REF!+#REF!+#REF!+#REF!</f>
        <v>#REF!</v>
      </c>
      <c r="F12" s="16" t="e">
        <f>#REF!+#REF!+#REF!+#REF!+#REF!+#REF!+#REF!+#REF!</f>
        <v>#REF!</v>
      </c>
      <c r="G12" s="16" t="e">
        <f>#REF!+#REF!+#REF!+#REF!+#REF!+#REF!+#REF!+#REF!</f>
        <v>#REF!</v>
      </c>
      <c r="H12" s="16" t="e">
        <f>#REF!+#REF!+#REF!+#REF!+#REF!+#REF!+#REF!+#REF!</f>
        <v>#REF!</v>
      </c>
      <c r="I12" s="16" t="e">
        <f>#REF!+#REF!+#REF!+#REF!+#REF!+#REF!+#REF!+#REF!</f>
        <v>#REF!</v>
      </c>
      <c r="J12" s="71" t="e">
        <f t="shared" si="0"/>
        <v>#REF!</v>
      </c>
      <c r="M12" s="29">
        <v>50.83</v>
      </c>
    </row>
    <row r="13" spans="1:13" s="8" customFormat="1" ht="52.5" customHeight="1">
      <c r="A13" s="6">
        <v>7</v>
      </c>
      <c r="B13" s="7" t="s">
        <v>29</v>
      </c>
      <c r="C13" s="26" t="s">
        <v>30</v>
      </c>
      <c r="D13" s="16" t="e">
        <f>#REF!+#REF!+#REF!+#REF!+#REF!+#REF!+#REF!+#REF!</f>
        <v>#REF!</v>
      </c>
      <c r="E13" s="16" t="e">
        <f>#REF!+#REF!+#REF!+#REF!+#REF!+#REF!+#REF!+#REF!</f>
        <v>#REF!</v>
      </c>
      <c r="F13" s="16" t="e">
        <f>#REF!+#REF!+#REF!+#REF!+#REF!+#REF!+#REF!+#REF!</f>
        <v>#REF!</v>
      </c>
      <c r="G13" s="16" t="e">
        <f>#REF!+#REF!+#REF!+#REF!+#REF!+#REF!+#REF!+#REF!</f>
        <v>#REF!</v>
      </c>
      <c r="H13" s="16" t="e">
        <f>#REF!+#REF!+#REF!+#REF!+#REF!+#REF!+#REF!+#REF!</f>
        <v>#REF!</v>
      </c>
      <c r="I13" s="16" t="e">
        <f>#REF!+#REF!+#REF!+#REF!+#REF!+#REF!+#REF!+#REF!</f>
        <v>#REF!</v>
      </c>
      <c r="J13" s="71" t="e">
        <f t="shared" si="0"/>
        <v>#REF!</v>
      </c>
      <c r="M13" s="29">
        <v>15.57</v>
      </c>
    </row>
    <row r="14" spans="1:13" s="8" customFormat="1" ht="52.5" customHeight="1">
      <c r="A14" s="6">
        <v>8</v>
      </c>
      <c r="B14" s="4" t="s">
        <v>31</v>
      </c>
      <c r="C14" s="24" t="s">
        <v>32</v>
      </c>
      <c r="D14" s="16" t="e">
        <f>#REF!+#REF!+#REF!+#REF!+#REF!+#REF!+#REF!+#REF!</f>
        <v>#REF!</v>
      </c>
      <c r="E14" s="16" t="e">
        <f>#REF!+#REF!+#REF!+#REF!+#REF!+#REF!+#REF!+#REF!</f>
        <v>#REF!</v>
      </c>
      <c r="F14" s="16" t="e">
        <f>#REF!+#REF!+#REF!+#REF!+#REF!+#REF!+#REF!+#REF!</f>
        <v>#REF!</v>
      </c>
      <c r="G14" s="16" t="e">
        <f>#REF!+#REF!+#REF!+#REF!+#REF!+#REF!+#REF!+#REF!</f>
        <v>#REF!</v>
      </c>
      <c r="H14" s="16" t="e">
        <f>#REF!+#REF!+#REF!+#REF!+#REF!+#REF!+#REF!+#REF!</f>
        <v>#REF!</v>
      </c>
      <c r="I14" s="16" t="e">
        <f>#REF!+#REF!+#REF!+#REF!+#REF!+#REF!+#REF!+#REF!</f>
        <v>#REF!</v>
      </c>
      <c r="J14" s="71" t="e">
        <f t="shared" si="0"/>
        <v>#REF!</v>
      </c>
      <c r="M14" s="29">
        <f>SUM(M9:M13)</f>
        <v>507.63</v>
      </c>
    </row>
    <row r="15" spans="1:10" s="8" customFormat="1" ht="52.5" customHeight="1">
      <c r="A15" s="9">
        <v>9</v>
      </c>
      <c r="B15" s="10" t="s">
        <v>33</v>
      </c>
      <c r="C15" s="26" t="s">
        <v>34</v>
      </c>
      <c r="D15" s="16" t="e">
        <f>#REF!+#REF!+#REF!+#REF!+#REF!+#REF!+#REF!+#REF!</f>
        <v>#REF!</v>
      </c>
      <c r="E15" s="16" t="e">
        <f>#REF!+#REF!+#REF!+#REF!+#REF!+#REF!+#REF!+#REF!</f>
        <v>#REF!</v>
      </c>
      <c r="F15" s="16" t="e">
        <f>#REF!+#REF!+#REF!+#REF!+#REF!+#REF!+#REF!+#REF!</f>
        <v>#REF!</v>
      </c>
      <c r="G15" s="16" t="e">
        <f>#REF!+#REF!+#REF!+#REF!+#REF!+#REF!+#REF!+#REF!</f>
        <v>#REF!</v>
      </c>
      <c r="H15" s="16" t="e">
        <f>#REF!+#REF!+#REF!+#REF!+#REF!+#REF!+#REF!+#REF!</f>
        <v>#REF!</v>
      </c>
      <c r="I15" s="16" t="e">
        <f>#REF!+#REF!+#REF!+#REF!+#REF!+#REF!+#REF!+#REF!</f>
        <v>#REF!</v>
      </c>
      <c r="J15" s="71" t="e">
        <f t="shared" si="0"/>
        <v>#REF!</v>
      </c>
    </row>
    <row r="16" spans="1:10" s="8" customFormat="1" ht="52.5" customHeight="1">
      <c r="A16" s="6">
        <v>10</v>
      </c>
      <c r="B16" s="14" t="s">
        <v>35</v>
      </c>
      <c r="C16" s="27" t="s">
        <v>36</v>
      </c>
      <c r="D16" s="16" t="e">
        <f>#REF!+#REF!+#REF!+#REF!+#REF!+#REF!+#REF!+#REF!</f>
        <v>#REF!</v>
      </c>
      <c r="E16" s="16" t="e">
        <f>#REF!+#REF!+#REF!+#REF!+#REF!+#REF!+#REF!+#REF!</f>
        <v>#REF!</v>
      </c>
      <c r="F16" s="16" t="e">
        <f>#REF!+#REF!+#REF!+#REF!+#REF!+#REF!+#REF!+#REF!</f>
        <v>#REF!</v>
      </c>
      <c r="G16" s="16" t="e">
        <f>#REF!+#REF!+#REF!+#REF!+#REF!+#REF!+#REF!+#REF!</f>
        <v>#REF!</v>
      </c>
      <c r="H16" s="16" t="e">
        <f>#REF!+#REF!+#REF!+#REF!+#REF!+#REF!+#REF!+#REF!</f>
        <v>#REF!</v>
      </c>
      <c r="I16" s="16" t="e">
        <f>#REF!+#REF!+#REF!+#REF!+#REF!+#REF!+#REF!+#REF!</f>
        <v>#REF!</v>
      </c>
      <c r="J16" s="71" t="e">
        <f t="shared" si="0"/>
        <v>#REF!</v>
      </c>
    </row>
    <row r="17" spans="1:10" s="8" customFormat="1" ht="52.5" customHeight="1">
      <c r="A17" s="6">
        <v>11</v>
      </c>
      <c r="B17" s="4" t="s">
        <v>37</v>
      </c>
      <c r="C17" s="24" t="s">
        <v>44</v>
      </c>
      <c r="D17" s="16" t="e">
        <f>#REF!+#REF!+#REF!+#REF!+#REF!+#REF!+#REF!+#REF!</f>
        <v>#REF!</v>
      </c>
      <c r="E17" s="16" t="e">
        <f>#REF!+#REF!+#REF!+#REF!+#REF!+#REF!+#REF!+#REF!</f>
        <v>#REF!</v>
      </c>
      <c r="F17" s="16" t="e">
        <f>#REF!+#REF!+#REF!+#REF!+#REF!+#REF!+#REF!+#REF!</f>
        <v>#REF!</v>
      </c>
      <c r="G17" s="16" t="e">
        <f>#REF!+#REF!+#REF!+#REF!+#REF!+#REF!+#REF!+#REF!</f>
        <v>#REF!</v>
      </c>
      <c r="H17" s="16" t="e">
        <f>#REF!+#REF!+#REF!+#REF!+#REF!+#REF!+#REF!+#REF!</f>
        <v>#REF!</v>
      </c>
      <c r="I17" s="16" t="e">
        <f>#REF!+#REF!+#REF!+#REF!+#REF!+#REF!+#REF!+#REF!</f>
        <v>#REF!</v>
      </c>
      <c r="J17" s="71" t="e">
        <f t="shared" si="0"/>
        <v>#REF!</v>
      </c>
    </row>
    <row r="18" spans="1:10" s="8" customFormat="1" ht="52.5" customHeight="1">
      <c r="A18" s="6">
        <v>12</v>
      </c>
      <c r="B18" s="4" t="s">
        <v>38</v>
      </c>
      <c r="C18" s="24" t="s">
        <v>39</v>
      </c>
      <c r="D18" s="16" t="e">
        <f>#REF!+#REF!+#REF!+#REF!+#REF!+#REF!+#REF!+#REF!</f>
        <v>#REF!</v>
      </c>
      <c r="E18" s="16" t="e">
        <f>#REF!+#REF!+#REF!+#REF!+#REF!+#REF!+#REF!+#REF!</f>
        <v>#REF!</v>
      </c>
      <c r="F18" s="16" t="e">
        <f>#REF!+#REF!+#REF!+#REF!+#REF!+#REF!+#REF!+#REF!</f>
        <v>#REF!</v>
      </c>
      <c r="G18" s="16" t="e">
        <f>#REF!+#REF!+#REF!+#REF!+#REF!+#REF!+#REF!+#REF!</f>
        <v>#REF!</v>
      </c>
      <c r="H18" s="16" t="e">
        <f>#REF!+#REF!+#REF!+#REF!+#REF!+#REF!+#REF!+#REF!</f>
        <v>#REF!</v>
      </c>
      <c r="I18" s="16" t="e">
        <f>#REF!+#REF!+#REF!+#REF!+#REF!+#REF!+#REF!+#REF!</f>
        <v>#REF!</v>
      </c>
      <c r="J18" s="71" t="e">
        <f t="shared" si="0"/>
        <v>#REF!</v>
      </c>
    </row>
    <row r="19" spans="1:10" s="8" customFormat="1" ht="52.5" customHeight="1">
      <c r="A19" s="6">
        <v>13</v>
      </c>
      <c r="B19" s="23" t="s">
        <v>40</v>
      </c>
      <c r="C19" s="24" t="s">
        <v>54</v>
      </c>
      <c r="D19" s="16" t="e">
        <f>#REF!+#REF!+#REF!+#REF!+#REF!+#REF!+#REF!+#REF!</f>
        <v>#REF!</v>
      </c>
      <c r="E19" s="16" t="e">
        <f>#REF!+#REF!+#REF!+#REF!+#REF!+#REF!+#REF!+#REF!</f>
        <v>#REF!</v>
      </c>
      <c r="F19" s="16" t="e">
        <f>#REF!+#REF!+#REF!+#REF!+#REF!+#REF!+#REF!+#REF!</f>
        <v>#REF!</v>
      </c>
      <c r="G19" s="16" t="e">
        <f>#REF!+#REF!+#REF!+#REF!+#REF!+#REF!+#REF!+#REF!</f>
        <v>#REF!</v>
      </c>
      <c r="H19" s="16" t="e">
        <f>#REF!+#REF!+#REF!+#REF!+#REF!+#REF!+#REF!+#REF!</f>
        <v>#REF!</v>
      </c>
      <c r="I19" s="16" t="e">
        <f>#REF!+#REF!+#REF!+#REF!+#REF!+#REF!+#REF!+#REF!</f>
        <v>#REF!</v>
      </c>
      <c r="J19" s="71" t="e">
        <f t="shared" si="0"/>
        <v>#REF!</v>
      </c>
    </row>
    <row r="20" spans="1:10" s="5" customFormat="1" ht="42" customHeight="1">
      <c r="A20" s="102" t="s">
        <v>14</v>
      </c>
      <c r="B20" s="103"/>
      <c r="C20" s="104"/>
      <c r="D20" s="71" t="e">
        <f>SUM(D7:D19)</f>
        <v>#REF!</v>
      </c>
      <c r="E20" s="71" t="e">
        <f aca="true" t="shared" si="1" ref="E20:J20">SUM(E7:E19)</f>
        <v>#REF!</v>
      </c>
      <c r="F20" s="71" t="e">
        <f t="shared" si="1"/>
        <v>#REF!</v>
      </c>
      <c r="G20" s="71" t="e">
        <f t="shared" si="1"/>
        <v>#REF!</v>
      </c>
      <c r="H20" s="71" t="e">
        <f t="shared" si="1"/>
        <v>#REF!</v>
      </c>
      <c r="I20" s="71" t="e">
        <f t="shared" si="1"/>
        <v>#REF!</v>
      </c>
      <c r="J20" s="71" t="e">
        <f t="shared" si="1"/>
        <v>#REF!</v>
      </c>
    </row>
    <row r="23" ht="72" customHeight="1">
      <c r="C23" s="70"/>
    </row>
    <row r="24" ht="12.75">
      <c r="D24" s="1" t="s">
        <v>49</v>
      </c>
    </row>
    <row r="41" ht="25.5">
      <c r="D41" s="22"/>
    </row>
    <row r="42" ht="20.25">
      <c r="D42" s="21"/>
    </row>
  </sheetData>
  <sheetProtection/>
  <mergeCells count="7">
    <mergeCell ref="A20:C20"/>
    <mergeCell ref="A2:J2"/>
    <mergeCell ref="A3:J3"/>
    <mergeCell ref="A5:A6"/>
    <mergeCell ref="B5:B6"/>
    <mergeCell ref="C5:C6"/>
    <mergeCell ref="D5:J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45" r:id="rId1"/>
  <headerFooter differentOddEven="1" alignWithMargins="0">
    <oddFooter>&amp;L&amp;12F01(DRO(OPR)-P-01)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Q12" sqref="Q12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94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95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1.07712</v>
      </c>
      <c r="F7" s="58" t="s">
        <v>81</v>
      </c>
      <c r="G7" s="58">
        <v>0.340096</v>
      </c>
      <c r="H7" s="58" t="s">
        <v>51</v>
      </c>
      <c r="I7" s="60">
        <f aca="true" t="shared" si="0" ref="I7:I26">SUM(E7:H7)</f>
        <v>1.417216</v>
      </c>
      <c r="J7" s="58">
        <v>2.900352</v>
      </c>
      <c r="K7" s="58">
        <v>2.900352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(W7+'01'!W7)/2</f>
        <v>44.28137651821862</v>
      </c>
      <c r="Y7" s="59">
        <v>0.34464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0.14238</v>
      </c>
      <c r="F8" s="58">
        <v>0.3048</v>
      </c>
      <c r="G8" s="58">
        <v>0.2965</v>
      </c>
      <c r="H8" s="58" t="s">
        <v>56</v>
      </c>
      <c r="I8" s="60">
        <f t="shared" si="0"/>
        <v>0.74368</v>
      </c>
      <c r="J8" s="58">
        <v>1.53438</v>
      </c>
      <c r="K8" s="58">
        <v>1.53438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53</v>
      </c>
      <c r="W8" s="62">
        <f>(10000*V8)/(120*99)</f>
        <v>44.612794612794616</v>
      </c>
      <c r="X8" s="62">
        <f>(W8+'01'!W8)/2</f>
        <v>44.612794612794616</v>
      </c>
      <c r="Y8" s="59">
        <v>0.28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0.0967</v>
      </c>
      <c r="G9" s="58">
        <v>0.1624</v>
      </c>
      <c r="H9" s="64"/>
      <c r="I9" s="60">
        <f t="shared" si="0"/>
        <v>0.2591</v>
      </c>
      <c r="J9" s="59">
        <v>0.5541</v>
      </c>
      <c r="K9" s="59">
        <v>0.5541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(W9+'01'!W9)/2</f>
        <v>55.201223378464064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0.14964</v>
      </c>
      <c r="G10" s="59">
        <v>0.28164</v>
      </c>
      <c r="H10" s="64"/>
      <c r="I10" s="60">
        <f t="shared" si="0"/>
        <v>0.43128</v>
      </c>
      <c r="J10" s="59">
        <v>0.91416</v>
      </c>
      <c r="K10" s="59">
        <v>0.91416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(W10+'01'!W10)/2</f>
        <v>64.1747131883972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0.04638</v>
      </c>
      <c r="F11" s="59">
        <v>0.17934</v>
      </c>
      <c r="G11" s="59">
        <v>0.05094</v>
      </c>
      <c r="H11" s="64" t="s">
        <v>49</v>
      </c>
      <c r="I11" s="60">
        <f>SUM(E11:H11)</f>
        <v>0.27666</v>
      </c>
      <c r="J11" s="59">
        <v>0.5963400000000001</v>
      </c>
      <c r="K11" s="59">
        <v>0.5963400000000001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(W11+'01'!W11)/2</f>
        <v>67.1366230278617</v>
      </c>
      <c r="Y11" s="59">
        <v>0.05</v>
      </c>
      <c r="Z11" s="63"/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0.630773</v>
      </c>
      <c r="F12" s="58">
        <v>0.103395</v>
      </c>
      <c r="G12" s="58" t="s">
        <v>51</v>
      </c>
      <c r="H12" s="64"/>
      <c r="I12" s="60">
        <f t="shared" si="0"/>
        <v>0.734168</v>
      </c>
      <c r="J12" s="58">
        <v>0.9195840000000001</v>
      </c>
      <c r="K12" s="58">
        <v>0.9195840000000001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(W12+'01'!W12)/2</f>
        <v>50.911939129461786</v>
      </c>
      <c r="Y12" s="59">
        <v>0.20682</v>
      </c>
      <c r="Z12" s="63" t="s">
        <v>93</v>
      </c>
    </row>
    <row r="13" spans="1:26" s="46" customFormat="1" ht="48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0.913</v>
      </c>
      <c r="F13" s="58" t="s">
        <v>51</v>
      </c>
      <c r="G13" s="58">
        <v>0.797</v>
      </c>
      <c r="H13" s="58">
        <v>0.023</v>
      </c>
      <c r="I13" s="60">
        <f t="shared" si="0"/>
        <v>1.7329999999999999</v>
      </c>
      <c r="J13" s="58">
        <v>3.343</v>
      </c>
      <c r="K13" s="58">
        <v>3.343</v>
      </c>
      <c r="L13" s="61"/>
      <c r="M13" s="61"/>
      <c r="N13" s="61"/>
      <c r="O13" s="59"/>
      <c r="P13" s="59"/>
      <c r="Q13" s="59"/>
      <c r="R13" s="59"/>
      <c r="S13" s="59"/>
      <c r="T13" s="59"/>
      <c r="U13" s="60">
        <f>SUM(O13:T13)</f>
        <v>0</v>
      </c>
      <c r="V13" s="62">
        <v>152</v>
      </c>
      <c r="W13" s="62">
        <f>(10000*V13)/(304*99)</f>
        <v>50.505050505050505</v>
      </c>
      <c r="X13" s="62">
        <f>(W13+'01'!W13)/2</f>
        <v>50.505050505050505</v>
      </c>
      <c r="Y13" s="59">
        <v>0.456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0.736</v>
      </c>
      <c r="F14" s="58">
        <v>0.707</v>
      </c>
      <c r="G14" s="58" t="s">
        <v>51</v>
      </c>
      <c r="H14" s="58">
        <v>0.578</v>
      </c>
      <c r="I14" s="60">
        <f t="shared" si="0"/>
        <v>2.021</v>
      </c>
      <c r="J14" s="58">
        <v>4.1739999999999995</v>
      </c>
      <c r="K14" s="58">
        <v>4.1739999999999995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97</v>
      </c>
      <c r="W14" s="62">
        <f>(10000*V14)/(144*99)</f>
        <v>68.04152637485971</v>
      </c>
      <c r="X14" s="62">
        <f>(W14+'01'!W14)/2</f>
        <v>68.04152637485971</v>
      </c>
      <c r="Y14" s="59">
        <v>0.349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 t="s">
        <v>56</v>
      </c>
      <c r="G15" s="59" t="s">
        <v>56</v>
      </c>
      <c r="H15" s="64"/>
      <c r="I15" s="60">
        <f t="shared" si="0"/>
        <v>0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(W15+'01'!W15)/2</f>
        <v>8.900688658996817</v>
      </c>
      <c r="Y15" s="59">
        <v>0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 t="s">
        <v>56</v>
      </c>
      <c r="F16" s="59">
        <v>0.296</v>
      </c>
      <c r="G16" s="59">
        <v>0.119</v>
      </c>
      <c r="H16" s="64"/>
      <c r="I16" s="60">
        <f t="shared" si="0"/>
        <v>0.415</v>
      </c>
      <c r="J16" s="58">
        <v>0.857</v>
      </c>
      <c r="K16" s="59">
        <v>0.857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28</v>
      </c>
      <c r="W16" s="62">
        <f>(10000*V16)/(41.4*99)</f>
        <v>68.31601034499586</v>
      </c>
      <c r="X16" s="62">
        <f>(W16+'01'!W16)/2</f>
        <v>64.65622407651394</v>
      </c>
      <c r="Y16" s="59">
        <v>0.097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0.075612</v>
      </c>
      <c r="F17" s="59">
        <v>0.103518</v>
      </c>
      <c r="G17" s="59" t="s">
        <v>56</v>
      </c>
      <c r="H17" s="64"/>
      <c r="I17" s="60">
        <f t="shared" si="0"/>
        <v>0.17913</v>
      </c>
      <c r="J17" s="58">
        <v>0.41983000000000004</v>
      </c>
      <c r="K17" s="59">
        <v>0.41983000000000004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10.6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0.010973</v>
      </c>
      <c r="F18" s="58">
        <v>0.031134</v>
      </c>
      <c r="G18" s="58">
        <v>0.049524</v>
      </c>
      <c r="H18" s="64"/>
      <c r="I18" s="60">
        <f t="shared" si="0"/>
        <v>0.09163099999999999</v>
      </c>
      <c r="J18" s="58">
        <v>0.21090799999999998</v>
      </c>
      <c r="K18" s="59">
        <v>0.21090799999999998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5.3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0.0168</v>
      </c>
      <c r="I19" s="60">
        <f t="shared" si="0"/>
        <v>0.0168</v>
      </c>
      <c r="J19" s="58">
        <v>0.033</v>
      </c>
      <c r="K19" s="59">
        <v>0.033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82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0.00398</v>
      </c>
      <c r="F20" s="58">
        <v>0.00302</v>
      </c>
      <c r="G20" s="64"/>
      <c r="H20" s="64"/>
      <c r="I20" s="60">
        <f t="shared" si="0"/>
        <v>0.007</v>
      </c>
      <c r="J20" s="58">
        <v>0.013940000000000001</v>
      </c>
      <c r="K20" s="59">
        <v>0.013940000000000001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0.305</v>
      </c>
      <c r="W20" s="60"/>
      <c r="X20" s="62"/>
      <c r="Y20" s="59">
        <v>0.001753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0.0168</v>
      </c>
      <c r="F21" s="59">
        <v>0.02</v>
      </c>
      <c r="G21" s="64"/>
      <c r="H21" s="64"/>
      <c r="I21" s="60">
        <f t="shared" si="0"/>
        <v>0.0368</v>
      </c>
      <c r="J21" s="58">
        <v>0.0716</v>
      </c>
      <c r="K21" s="59">
        <v>0.0716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1.52</v>
      </c>
      <c r="W21" s="60"/>
      <c r="X21" s="62"/>
      <c r="Y21" s="59">
        <v>0.0091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0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0.019217</v>
      </c>
      <c r="F23" s="59" t="s">
        <v>56</v>
      </c>
      <c r="G23" s="64"/>
      <c r="H23" s="64" t="s">
        <v>49</v>
      </c>
      <c r="I23" s="60">
        <f t="shared" si="0"/>
        <v>0.019217</v>
      </c>
      <c r="J23" s="58">
        <v>0.040288000000000004</v>
      </c>
      <c r="K23" s="59">
        <v>0.040288000000000004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1.02</v>
      </c>
      <c r="W23" s="60"/>
      <c r="X23" s="62"/>
      <c r="Y23" s="59">
        <v>0.0058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0.2198</v>
      </c>
      <c r="G24" s="64"/>
      <c r="H24" s="64"/>
      <c r="I24" s="60">
        <f t="shared" si="0"/>
        <v>0.2198</v>
      </c>
      <c r="J24" s="58">
        <v>0.5058</v>
      </c>
      <c r="K24" s="59">
        <v>0.5058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0.2198</v>
      </c>
      <c r="Z24" s="63" t="s">
        <v>82</v>
      </c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0.036993</v>
      </c>
      <c r="F25" s="59" t="s">
        <v>56</v>
      </c>
      <c r="G25" s="64"/>
      <c r="H25" s="64"/>
      <c r="I25" s="60">
        <f t="shared" si="0"/>
        <v>0.036993</v>
      </c>
      <c r="J25" s="58">
        <v>0.079017</v>
      </c>
      <c r="K25" s="59">
        <v>0.079017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2.25</v>
      </c>
      <c r="W25" s="59"/>
      <c r="X25" s="62"/>
      <c r="Y25" s="59">
        <v>0.01285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8.638474999999998</v>
      </c>
      <c r="J27" s="61">
        <f>SUM(J7:J26)</f>
        <v>17.678299000000006</v>
      </c>
      <c r="K27" s="61">
        <f>SUM(K7:K26)</f>
        <v>17.678299000000006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655.6949999999999</v>
      </c>
      <c r="W27" s="60"/>
      <c r="X27" s="60"/>
      <c r="Y27" s="60">
        <f>SUM(Y7:Y26)</f>
        <v>2.2838629999999998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C33:Z33"/>
    <mergeCell ref="B28:Z28"/>
    <mergeCell ref="A29:Z29"/>
    <mergeCell ref="A30:B30"/>
    <mergeCell ref="C30:Z30"/>
    <mergeCell ref="C31:E31"/>
    <mergeCell ref="C32:J32"/>
    <mergeCell ref="V5:V6"/>
    <mergeCell ref="W5:W6"/>
    <mergeCell ref="X5:X6"/>
    <mergeCell ref="Y5:Y6"/>
    <mergeCell ref="Z5:Z6"/>
    <mergeCell ref="A27:B27"/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Z16" sqref="Z16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97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98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0.90816</v>
      </c>
      <c r="F7" s="58" t="s">
        <v>81</v>
      </c>
      <c r="G7" s="58">
        <v>0.3344992</v>
      </c>
      <c r="H7" s="58" t="s">
        <v>51</v>
      </c>
      <c r="I7" s="60">
        <f aca="true" t="shared" si="0" ref="I7:I26">SUM(E7:H7)</f>
        <v>1.2426591999999999</v>
      </c>
      <c r="J7" s="58">
        <v>4.1430112</v>
      </c>
      <c r="K7" s="58">
        <v>4.1430112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(W7+'01'!W7+'02'!W7)/3</f>
        <v>44.28137651821862</v>
      </c>
      <c r="Y7" s="59">
        <v>0.34208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0.27974</v>
      </c>
      <c r="F8" s="58">
        <v>0.2488</v>
      </c>
      <c r="G8" s="58" t="s">
        <v>56</v>
      </c>
      <c r="H8" s="58">
        <v>0.1426</v>
      </c>
      <c r="I8" s="60">
        <f t="shared" si="0"/>
        <v>0.6711400000000001</v>
      </c>
      <c r="J8" s="58">
        <v>2.20552</v>
      </c>
      <c r="K8" s="58">
        <v>2.20552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53</v>
      </c>
      <c r="W8" s="62">
        <f>(10000*V8)/(120*99)</f>
        <v>44.612794612794616</v>
      </c>
      <c r="X8" s="62">
        <f>(W8+'01'!W8+'02'!W8)/3</f>
        <v>44.61279461279461</v>
      </c>
      <c r="Y8" s="59">
        <v>0.28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0.094</v>
      </c>
      <c r="G9" s="58">
        <v>0.158</v>
      </c>
      <c r="H9" s="64"/>
      <c r="I9" s="60">
        <f t="shared" si="0"/>
        <v>0.252</v>
      </c>
      <c r="J9" s="59">
        <v>0.8061</v>
      </c>
      <c r="K9" s="59">
        <v>0.8061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(W9+'01'!W9+'02'!W9)/3</f>
        <v>55.20122337846406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0.15132</v>
      </c>
      <c r="G10" s="59">
        <v>0.2598</v>
      </c>
      <c r="H10" s="64"/>
      <c r="I10" s="60">
        <f t="shared" si="0"/>
        <v>0.41112</v>
      </c>
      <c r="J10" s="59">
        <v>1.32528</v>
      </c>
      <c r="K10" s="59">
        <v>1.32528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(W10+'01'!W10+'02'!W10)/3</f>
        <v>64.1747131883972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0.18396</v>
      </c>
      <c r="F11" s="59">
        <v>0.06342</v>
      </c>
      <c r="G11" s="59">
        <v>0.03894</v>
      </c>
      <c r="H11" s="64" t="s">
        <v>49</v>
      </c>
      <c r="I11" s="60">
        <f>SUM(E11:H11)</f>
        <v>0.28632</v>
      </c>
      <c r="J11" s="59">
        <v>0.8826600000000001</v>
      </c>
      <c r="K11" s="59">
        <v>0.8826600000000001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(W11+'01'!W11+'02'!W11)/3</f>
        <v>67.1366230278617</v>
      </c>
      <c r="Y11" s="59">
        <v>0.05</v>
      </c>
      <c r="Z11" s="63"/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0.205377</v>
      </c>
      <c r="F12" s="58">
        <v>0.451712</v>
      </c>
      <c r="G12" s="58" t="s">
        <v>51</v>
      </c>
      <c r="H12" s="64"/>
      <c r="I12" s="60">
        <f t="shared" si="0"/>
        <v>0.657089</v>
      </c>
      <c r="J12" s="58">
        <v>1.576673</v>
      </c>
      <c r="K12" s="58">
        <v>1.576673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(W12+'01'!W12+'02'!W12)/3</f>
        <v>59.3040170079445</v>
      </c>
      <c r="Y12" s="59">
        <v>0.16252</v>
      </c>
      <c r="Z12" s="63" t="s">
        <v>93</v>
      </c>
    </row>
    <row r="13" spans="1:26" s="46" customFormat="1" ht="48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0.495</v>
      </c>
      <c r="F13" s="58" t="s">
        <v>51</v>
      </c>
      <c r="G13" s="58">
        <v>0.393</v>
      </c>
      <c r="H13" s="58">
        <v>0.75</v>
      </c>
      <c r="I13" s="60">
        <f t="shared" si="0"/>
        <v>1.638</v>
      </c>
      <c r="J13" s="58">
        <v>4.981</v>
      </c>
      <c r="K13" s="58">
        <v>4.981</v>
      </c>
      <c r="L13" s="61"/>
      <c r="M13" s="61"/>
      <c r="N13" s="61"/>
      <c r="O13" s="59"/>
      <c r="P13" s="59"/>
      <c r="Q13" s="59"/>
      <c r="R13" s="59"/>
      <c r="S13" s="59"/>
      <c r="T13" s="59"/>
      <c r="U13" s="60">
        <f>SUM(O13:T13)</f>
        <v>0</v>
      </c>
      <c r="V13" s="62">
        <v>182</v>
      </c>
      <c r="W13" s="62">
        <f>(10000*V13)/(304*99)</f>
        <v>60.473152578415736</v>
      </c>
      <c r="X13" s="62">
        <f>(W13+'01'!W13+'02'!W13)/3</f>
        <v>53.827751196172244</v>
      </c>
      <c r="Y13" s="59">
        <v>0.547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0.768</v>
      </c>
      <c r="F14" s="58">
        <v>0.785</v>
      </c>
      <c r="G14" s="58" t="s">
        <v>51</v>
      </c>
      <c r="H14" s="58">
        <v>0.627</v>
      </c>
      <c r="I14" s="60">
        <f t="shared" si="0"/>
        <v>2.1799999999999997</v>
      </c>
      <c r="J14" s="58">
        <v>6.353999999999999</v>
      </c>
      <c r="K14" s="58">
        <v>6.353999999999999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96</v>
      </c>
      <c r="W14" s="62">
        <f>(10000*V14)/(144*99)</f>
        <v>67.34006734006734</v>
      </c>
      <c r="X14" s="62">
        <f>(W14+'01'!W14+'02'!W14)/3</f>
        <v>67.80770669659559</v>
      </c>
      <c r="Y14" s="59">
        <v>1.026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 t="s">
        <v>56</v>
      </c>
      <c r="G15" s="59" t="s">
        <v>56</v>
      </c>
      <c r="H15" s="64"/>
      <c r="I15" s="60">
        <f t="shared" si="0"/>
        <v>0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(W15+'01'!W15+'02'!W15)/3</f>
        <v>5.933792439331211</v>
      </c>
      <c r="Y15" s="59">
        <v>0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 t="s">
        <v>56</v>
      </c>
      <c r="F16" s="59">
        <v>0.277</v>
      </c>
      <c r="G16" s="59">
        <v>0.121</v>
      </c>
      <c r="H16" s="64"/>
      <c r="I16" s="60">
        <f t="shared" si="0"/>
        <v>0.398</v>
      </c>
      <c r="J16" s="58">
        <v>1.255</v>
      </c>
      <c r="K16" s="59">
        <v>1.255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>
        <f>(W16+'01'!W16+'02'!W16)/3</f>
        <v>66.68943867011501</v>
      </c>
      <c r="Y16" s="59">
        <v>0.112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0.089879</v>
      </c>
      <c r="F17" s="59">
        <v>0.089498</v>
      </c>
      <c r="G17" s="59" t="s">
        <v>56</v>
      </c>
      <c r="H17" s="64"/>
      <c r="I17" s="60">
        <f t="shared" si="0"/>
        <v>0.179377</v>
      </c>
      <c r="J17" s="58">
        <v>0.599207</v>
      </c>
      <c r="K17" s="59">
        <v>0.599207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10.5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0.046682</v>
      </c>
      <c r="F18" s="58" t="s">
        <v>56</v>
      </c>
      <c r="G18" s="58">
        <v>0.023078</v>
      </c>
      <c r="H18" s="64"/>
      <c r="I18" s="60">
        <f t="shared" si="0"/>
        <v>0.06976</v>
      </c>
      <c r="J18" s="58">
        <v>0.280668</v>
      </c>
      <c r="K18" s="59">
        <v>0.280668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6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0.01626</v>
      </c>
      <c r="I19" s="60">
        <f t="shared" si="0"/>
        <v>0.01626</v>
      </c>
      <c r="J19" s="58">
        <v>0.04926</v>
      </c>
      <c r="K19" s="59">
        <v>0.04926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82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0.00664</v>
      </c>
      <c r="F20" s="58" t="s">
        <v>56</v>
      </c>
      <c r="G20" s="64"/>
      <c r="H20" s="64"/>
      <c r="I20" s="60">
        <f t="shared" si="0"/>
        <v>0.00664</v>
      </c>
      <c r="J20" s="58">
        <v>0.02058</v>
      </c>
      <c r="K20" s="59">
        <v>0.02058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0.28</v>
      </c>
      <c r="W20" s="60"/>
      <c r="X20" s="62"/>
      <c r="Y20" s="59">
        <v>0.001716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0.0164</v>
      </c>
      <c r="F21" s="59">
        <v>0.02</v>
      </c>
      <c r="G21" s="64"/>
      <c r="H21" s="64"/>
      <c r="I21" s="60">
        <f t="shared" si="0"/>
        <v>0.0364</v>
      </c>
      <c r="J21" s="58">
        <v>0.108</v>
      </c>
      <c r="K21" s="59">
        <v>0.108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1.56</v>
      </c>
      <c r="W21" s="60"/>
      <c r="X21" s="62"/>
      <c r="Y21" s="59">
        <v>0.00914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0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0.022025</v>
      </c>
      <c r="F23" s="59" t="s">
        <v>56</v>
      </c>
      <c r="G23" s="64"/>
      <c r="H23" s="64" t="s">
        <v>49</v>
      </c>
      <c r="I23" s="60">
        <f t="shared" si="0"/>
        <v>0.022025</v>
      </c>
      <c r="J23" s="58">
        <v>0.06231300000000001</v>
      </c>
      <c r="K23" s="59">
        <v>0.06231300000000001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1.1</v>
      </c>
      <c r="W23" s="60"/>
      <c r="X23" s="62"/>
      <c r="Y23" s="59">
        <v>0.0058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0.3035</v>
      </c>
      <c r="G24" s="64"/>
      <c r="H24" s="64"/>
      <c r="I24" s="60">
        <f t="shared" si="0"/>
        <v>0.3035</v>
      </c>
      <c r="J24" s="58">
        <v>0.8093</v>
      </c>
      <c r="K24" s="59">
        <v>0.8093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0.3035</v>
      </c>
      <c r="Z24" s="63" t="s">
        <v>82</v>
      </c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0.046834</v>
      </c>
      <c r="F25" s="59" t="s">
        <v>56</v>
      </c>
      <c r="G25" s="64"/>
      <c r="H25" s="64"/>
      <c r="I25" s="60">
        <f t="shared" si="0"/>
        <v>0.046834</v>
      </c>
      <c r="J25" s="58">
        <v>0.125851</v>
      </c>
      <c r="K25" s="59">
        <v>0.125851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2.05</v>
      </c>
      <c r="W25" s="59"/>
      <c r="X25" s="62"/>
      <c r="Y25" s="59">
        <v>0.012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8.4171242</v>
      </c>
      <c r="J27" s="61">
        <f>SUM(J7:J26)</f>
        <v>26.095423199999995</v>
      </c>
      <c r="K27" s="61">
        <f>SUM(K7:K26)</f>
        <v>26.095423199999995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686.1899999999999</v>
      </c>
      <c r="W27" s="60"/>
      <c r="X27" s="60"/>
      <c r="Y27" s="60">
        <f>SUM(Y7:Y26)</f>
        <v>3.1028560000000005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C33:Z33"/>
    <mergeCell ref="B28:Z28"/>
    <mergeCell ref="A29:Z29"/>
    <mergeCell ref="A30:B30"/>
    <mergeCell ref="C30:Z30"/>
    <mergeCell ref="C31:E31"/>
    <mergeCell ref="C32:J32"/>
    <mergeCell ref="V5:V6"/>
    <mergeCell ref="W5:W6"/>
    <mergeCell ref="X5:X6"/>
    <mergeCell ref="Y5:Y6"/>
    <mergeCell ref="Z5:Z6"/>
    <mergeCell ref="A27:B27"/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S13" sqref="S13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100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0.928704</v>
      </c>
      <c r="F7" s="58" t="s">
        <v>81</v>
      </c>
      <c r="G7" s="58">
        <v>0.3344992</v>
      </c>
      <c r="H7" s="58" t="s">
        <v>51</v>
      </c>
      <c r="I7" s="60">
        <f aca="true" t="shared" si="0" ref="I7:I26">SUM(E7:H7)</f>
        <v>1.2632032</v>
      </c>
      <c r="J7" s="58">
        <v>5.4062144</v>
      </c>
      <c r="K7" s="58">
        <v>5.4062144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(W7+'01'!W7+'02'!W7)/3</f>
        <v>44.28137651821862</v>
      </c>
      <c r="Y7" s="59">
        <v>0.34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 t="s">
        <v>56</v>
      </c>
      <c r="F8" s="58">
        <v>0.17492</v>
      </c>
      <c r="G8" s="58" t="s">
        <v>56</v>
      </c>
      <c r="H8" s="58">
        <v>0.4986</v>
      </c>
      <c r="I8" s="60">
        <f t="shared" si="0"/>
        <v>0.67352</v>
      </c>
      <c r="J8" s="58">
        <v>2.87904</v>
      </c>
      <c r="K8" s="58">
        <v>2.87904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53</v>
      </c>
      <c r="W8" s="62">
        <f>(10000*V8)/(120*99)</f>
        <v>44.612794612794616</v>
      </c>
      <c r="X8" s="62">
        <f>(W8+'01'!W8+'02'!W8)/3</f>
        <v>44.61279461279461</v>
      </c>
      <c r="Y8" s="59">
        <v>0.28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0.087</v>
      </c>
      <c r="G9" s="58">
        <v>0.161</v>
      </c>
      <c r="H9" s="64"/>
      <c r="I9" s="60">
        <f t="shared" si="0"/>
        <v>0.248</v>
      </c>
      <c r="J9" s="59">
        <v>1.0541</v>
      </c>
      <c r="K9" s="59">
        <v>1.0541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(W9+'01'!W9+'02'!W9)/3</f>
        <v>55.20122337846406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0.1392</v>
      </c>
      <c r="G10" s="59">
        <v>0.2664</v>
      </c>
      <c r="H10" s="64"/>
      <c r="I10" s="60">
        <f t="shared" si="0"/>
        <v>0.4056</v>
      </c>
      <c r="J10" s="59">
        <v>1.73088</v>
      </c>
      <c r="K10" s="59">
        <v>1.73088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(W10+'01'!W10+'02'!W10)/3</f>
        <v>64.1747131883972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0.18798</v>
      </c>
      <c r="F11" s="59">
        <v>0.00978</v>
      </c>
      <c r="G11" s="59">
        <v>0.08598</v>
      </c>
      <c r="H11" s="64" t="s">
        <v>49</v>
      </c>
      <c r="I11" s="60">
        <f>SUM(E11:H11)</f>
        <v>0.28374</v>
      </c>
      <c r="J11" s="59">
        <v>1.1664</v>
      </c>
      <c r="K11" s="59">
        <v>1.1664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(W11+'01'!W11+'02'!W11)/3</f>
        <v>67.1366230278617</v>
      </c>
      <c r="Y11" s="59">
        <v>0.05</v>
      </c>
      <c r="Z11" s="63"/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0.247587</v>
      </c>
      <c r="F12" s="58">
        <v>0.466715</v>
      </c>
      <c r="G12" s="58" t="s">
        <v>51</v>
      </c>
      <c r="H12" s="64"/>
      <c r="I12" s="60">
        <f t="shared" si="0"/>
        <v>0.714302</v>
      </c>
      <c r="J12" s="58">
        <v>2.290975</v>
      </c>
      <c r="K12" s="58">
        <v>2.290975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(W12+'01'!W12+'02'!W12)/3</f>
        <v>59.3040170079445</v>
      </c>
      <c r="Y12" s="59">
        <v>0.223244</v>
      </c>
      <c r="Z12" s="63" t="s">
        <v>93</v>
      </c>
    </row>
    <row r="13" spans="1:26" s="46" customFormat="1" ht="48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0.253</v>
      </c>
      <c r="F13" s="58" t="s">
        <v>51</v>
      </c>
      <c r="G13" s="58">
        <v>0.314</v>
      </c>
      <c r="H13" s="58">
        <v>1.214</v>
      </c>
      <c r="I13" s="60">
        <f t="shared" si="0"/>
        <v>1.781</v>
      </c>
      <c r="J13" s="58">
        <v>6.762</v>
      </c>
      <c r="K13" s="58">
        <v>6.762</v>
      </c>
      <c r="L13" s="61"/>
      <c r="M13" s="61"/>
      <c r="N13" s="61"/>
      <c r="O13" s="59"/>
      <c r="P13" s="59"/>
      <c r="Q13" s="59"/>
      <c r="R13" s="59"/>
      <c r="S13" s="59"/>
      <c r="T13" s="59"/>
      <c r="U13" s="60">
        <f>SUM(O13:T13)</f>
        <v>0</v>
      </c>
      <c r="V13" s="62">
        <v>227</v>
      </c>
      <c r="W13" s="62">
        <f>(10000*V13)/(304*99)</f>
        <v>75.42530568846358</v>
      </c>
      <c r="X13" s="62">
        <f>(W13+'01'!W13+'02'!W13)/3</f>
        <v>58.81180223285486</v>
      </c>
      <c r="Y13" s="59">
        <v>0.591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0.724</v>
      </c>
      <c r="F14" s="58">
        <v>0.679</v>
      </c>
      <c r="G14" s="58" t="s">
        <v>51</v>
      </c>
      <c r="H14" s="58">
        <v>0.583</v>
      </c>
      <c r="I14" s="60">
        <f t="shared" si="0"/>
        <v>1.986</v>
      </c>
      <c r="J14" s="58">
        <v>8.34</v>
      </c>
      <c r="K14" s="58">
        <v>8.34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96</v>
      </c>
      <c r="W14" s="62">
        <f>(10000*V14)/(144*99)</f>
        <v>67.34006734006734</v>
      </c>
      <c r="X14" s="62">
        <f>(W14+'01'!W14+'02'!W14)/3</f>
        <v>67.80770669659559</v>
      </c>
      <c r="Y14" s="59">
        <v>0.591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 t="s">
        <v>56</v>
      </c>
      <c r="G15" s="59" t="s">
        <v>56</v>
      </c>
      <c r="H15" s="64"/>
      <c r="I15" s="60">
        <f t="shared" si="0"/>
        <v>0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(W15+'01'!W15+'02'!W15)/3</f>
        <v>5.933792439331211</v>
      </c>
      <c r="Y15" s="59">
        <v>0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 t="s">
        <v>56</v>
      </c>
      <c r="F16" s="59">
        <v>0.275</v>
      </c>
      <c r="G16" s="59">
        <v>0.132</v>
      </c>
      <c r="H16" s="64"/>
      <c r="I16" s="60">
        <f t="shared" si="0"/>
        <v>0.40700000000000003</v>
      </c>
      <c r="J16" s="58">
        <v>1.662</v>
      </c>
      <c r="K16" s="59">
        <v>1.662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>
        <f>(W16+'01'!W16+'02'!W16)/3</f>
        <v>66.68943867011501</v>
      </c>
      <c r="Y16" s="59">
        <v>0.096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0.118495</v>
      </c>
      <c r="F17" s="59">
        <v>0.099877</v>
      </c>
      <c r="G17" s="59" t="s">
        <v>56</v>
      </c>
      <c r="H17" s="64"/>
      <c r="I17" s="60">
        <f t="shared" si="0"/>
        <v>0.218372</v>
      </c>
      <c r="J17" s="58">
        <v>0.8175790000000001</v>
      </c>
      <c r="K17" s="59">
        <v>0.8175790000000001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12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0.0535</v>
      </c>
      <c r="F18" s="58" t="s">
        <v>56</v>
      </c>
      <c r="G18" s="58">
        <v>0.0449</v>
      </c>
      <c r="H18" s="64"/>
      <c r="I18" s="60">
        <f t="shared" si="0"/>
        <v>0.0984</v>
      </c>
      <c r="J18" s="58">
        <v>0.37906799999999996</v>
      </c>
      <c r="K18" s="59">
        <v>0.37906799999999996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5.6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0.01638</v>
      </c>
      <c r="I19" s="60">
        <f t="shared" si="0"/>
        <v>0.01638</v>
      </c>
      <c r="J19" s="58">
        <v>0.06564</v>
      </c>
      <c r="K19" s="59">
        <v>0.06564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82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0.0045</v>
      </c>
      <c r="F20" s="58">
        <v>0.00155</v>
      </c>
      <c r="G20" s="64"/>
      <c r="H20" s="64"/>
      <c r="I20" s="60">
        <f t="shared" si="0"/>
        <v>0.00605</v>
      </c>
      <c r="J20" s="58">
        <v>0.02663</v>
      </c>
      <c r="K20" s="59">
        <v>0.02663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0.28</v>
      </c>
      <c r="W20" s="60"/>
      <c r="X20" s="62"/>
      <c r="Y20" s="59">
        <v>0.001716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0.016</v>
      </c>
      <c r="F21" s="59">
        <v>0.018</v>
      </c>
      <c r="G21" s="64"/>
      <c r="H21" s="64"/>
      <c r="I21" s="60">
        <f t="shared" si="0"/>
        <v>0.034</v>
      </c>
      <c r="J21" s="58">
        <v>0.14200000000000002</v>
      </c>
      <c r="K21" s="59">
        <v>0.14200000000000002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1.58</v>
      </c>
      <c r="W21" s="60"/>
      <c r="X21" s="62"/>
      <c r="Y21" s="59">
        <v>0.00914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0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0.020324</v>
      </c>
      <c r="F23" s="59" t="s">
        <v>56</v>
      </c>
      <c r="G23" s="64"/>
      <c r="H23" s="64" t="s">
        <v>49</v>
      </c>
      <c r="I23" s="60">
        <f t="shared" si="0"/>
        <v>0.020324</v>
      </c>
      <c r="J23" s="58">
        <v>0.082637</v>
      </c>
      <c r="K23" s="59">
        <v>0.082637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0.95</v>
      </c>
      <c r="W23" s="60"/>
      <c r="X23" s="62"/>
      <c r="Y23" s="59">
        <v>0.0058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0.1638</v>
      </c>
      <c r="G24" s="64"/>
      <c r="H24" s="64"/>
      <c r="I24" s="60">
        <f t="shared" si="0"/>
        <v>0.1638</v>
      </c>
      <c r="J24" s="58">
        <v>0.9731000000000001</v>
      </c>
      <c r="K24" s="59">
        <v>0.9731000000000001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0.3035</v>
      </c>
      <c r="Z24" s="63" t="s">
        <v>82</v>
      </c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0.038214</v>
      </c>
      <c r="F25" s="59" t="s">
        <v>56</v>
      </c>
      <c r="G25" s="64"/>
      <c r="H25" s="64"/>
      <c r="I25" s="60">
        <f t="shared" si="0"/>
        <v>0.038214</v>
      </c>
      <c r="J25" s="58">
        <v>0.164065</v>
      </c>
      <c r="K25" s="59">
        <v>0.164065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</v>
      </c>
      <c r="W25" s="59"/>
      <c r="X25" s="62"/>
      <c r="Y25" s="59">
        <v>0.012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8.357905200000001</v>
      </c>
      <c r="J27" s="61">
        <f>SUM(J7:J26)</f>
        <v>34.4533284</v>
      </c>
      <c r="K27" s="61">
        <f>SUM(K7:K26)</f>
        <v>34.4533284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732.1100000000001</v>
      </c>
      <c r="W27" s="60"/>
      <c r="X27" s="60"/>
      <c r="Y27" s="60">
        <f>SUM(Y7:Y26)</f>
        <v>2.7545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Q11" sqref="Q11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102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0.827456</v>
      </c>
      <c r="F7" s="58" t="s">
        <v>81</v>
      </c>
      <c r="G7" s="58">
        <v>0.3316704</v>
      </c>
      <c r="H7" s="58" t="s">
        <v>51</v>
      </c>
      <c r="I7" s="60">
        <f aca="true" t="shared" si="0" ref="I7:I26">SUM(E7:H7)</f>
        <v>1.1591264</v>
      </c>
      <c r="J7" s="58">
        <v>6.5653407999999995</v>
      </c>
      <c r="K7" s="58">
        <v>6.5653407999999995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(W7+'01'!W7+'02'!W7+'03'!W7+'04'!W7)/5</f>
        <v>44.28137651821862</v>
      </c>
      <c r="Y7" s="59">
        <v>0.34175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0.14608</v>
      </c>
      <c r="F8" s="58">
        <v>0.25902</v>
      </c>
      <c r="G8" s="58">
        <v>0.0167</v>
      </c>
      <c r="H8" s="58">
        <v>0.20882</v>
      </c>
      <c r="I8" s="60">
        <f t="shared" si="0"/>
        <v>0.63062</v>
      </c>
      <c r="J8" s="58">
        <v>3.50966</v>
      </c>
      <c r="K8" s="58">
        <v>3.50966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53</v>
      </c>
      <c r="W8" s="62">
        <f>(10000*V8)/(120*99)</f>
        <v>44.612794612794616</v>
      </c>
      <c r="X8" s="62">
        <f>(W8+'01'!W8+'02'!W8+'03'!W8+'04'!W8)/5</f>
        <v>44.612794612794616</v>
      </c>
      <c r="Y8" s="59">
        <v>0.28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0.0772</v>
      </c>
      <c r="G9" s="58">
        <v>0.1427</v>
      </c>
      <c r="H9" s="64"/>
      <c r="I9" s="60">
        <f t="shared" si="0"/>
        <v>0.21989999999999998</v>
      </c>
      <c r="J9" s="59">
        <v>1.274</v>
      </c>
      <c r="K9" s="59">
        <v>1.274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(W9+'01'!W9+'02'!W9+'03'!W9+'04'!W9)/5</f>
        <v>55.201223378464064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0.20376</v>
      </c>
      <c r="G10" s="59">
        <v>0.16308</v>
      </c>
      <c r="H10" s="64"/>
      <c r="I10" s="60">
        <f t="shared" si="0"/>
        <v>0.36684</v>
      </c>
      <c r="J10" s="59">
        <v>2.09772</v>
      </c>
      <c r="K10" s="59">
        <v>2.09772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(W10+'01'!W10+'02'!W10+'03'!W10+'04'!W10)/5</f>
        <v>64.1747131883972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0.17388</v>
      </c>
      <c r="F11" s="59" t="s">
        <v>56</v>
      </c>
      <c r="G11" s="59">
        <v>0.08436</v>
      </c>
      <c r="H11" s="64" t="s">
        <v>49</v>
      </c>
      <c r="I11" s="60">
        <f>SUM(E11:H11)</f>
        <v>0.25824</v>
      </c>
      <c r="J11" s="59">
        <v>1.4246400000000001</v>
      </c>
      <c r="K11" s="59">
        <v>1.4246400000000001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(W11+'01'!W11+'02'!W11+'03'!W11+'04'!W11)/5</f>
        <v>67.1366230278617</v>
      </c>
      <c r="Y11" s="59">
        <v>0.05</v>
      </c>
      <c r="Z11" s="63"/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0.549737</v>
      </c>
      <c r="F12" s="58">
        <v>0.168424</v>
      </c>
      <c r="G12" s="58" t="s">
        <v>51</v>
      </c>
      <c r="H12" s="64"/>
      <c r="I12" s="60">
        <f t="shared" si="0"/>
        <v>0.718161</v>
      </c>
      <c r="J12" s="58">
        <v>3.009136</v>
      </c>
      <c r="K12" s="58">
        <v>3.009136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(W12+'01'!W12+'02'!W12+'03'!W12+'04'!W12)/5</f>
        <v>66.01767931073067</v>
      </c>
      <c r="Y12" s="59">
        <v>0.257267</v>
      </c>
      <c r="Z12" s="63" t="s">
        <v>93</v>
      </c>
    </row>
    <row r="13" spans="1:26" s="46" customFormat="1" ht="48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0.395</v>
      </c>
      <c r="F13" s="58" t="s">
        <v>51</v>
      </c>
      <c r="G13" s="58">
        <v>0.385</v>
      </c>
      <c r="H13" s="58">
        <v>1.056</v>
      </c>
      <c r="I13" s="60">
        <f t="shared" si="0"/>
        <v>1.836</v>
      </c>
      <c r="J13" s="58">
        <v>8.597999999999999</v>
      </c>
      <c r="K13" s="58">
        <v>8.597999999999999</v>
      </c>
      <c r="L13" s="61"/>
      <c r="M13" s="61"/>
      <c r="N13" s="61"/>
      <c r="O13" s="59"/>
      <c r="P13" s="59"/>
      <c r="Q13" s="59"/>
      <c r="R13" s="59"/>
      <c r="S13" s="59"/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(W13+'01'!W13+'02'!W13+'03'!W13+'04'!W13)/5</f>
        <v>62.599681020733655</v>
      </c>
      <c r="Y13" s="59">
        <v>0.686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0.701</v>
      </c>
      <c r="F14" s="58">
        <v>0.634</v>
      </c>
      <c r="G14" s="58" t="s">
        <v>51</v>
      </c>
      <c r="H14" s="58">
        <v>0.497</v>
      </c>
      <c r="I14" s="60">
        <f t="shared" si="0"/>
        <v>1.8319999999999999</v>
      </c>
      <c r="J14" s="58">
        <v>10.172</v>
      </c>
      <c r="K14" s="58">
        <v>10.172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88</v>
      </c>
      <c r="W14" s="62">
        <f>(10000*V14)/(144*99)</f>
        <v>61.72839506172839</v>
      </c>
      <c r="X14" s="62">
        <f>(W14+'01'!W14+'02'!W14+'03'!W14+'04'!W14)/5</f>
        <v>66.49831649831648</v>
      </c>
      <c r="Y14" s="59">
        <v>0.324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 t="s">
        <v>56</v>
      </c>
      <c r="G15" s="59" t="s">
        <v>56</v>
      </c>
      <c r="H15" s="64"/>
      <c r="I15" s="60">
        <f t="shared" si="0"/>
        <v>0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(W15+'01'!W15+'02'!W15+'03'!W15+'04'!W15)/5</f>
        <v>3.560275463598727</v>
      </c>
      <c r="Y15" s="59">
        <v>0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 t="s">
        <v>56</v>
      </c>
      <c r="F16" s="59">
        <v>0.131</v>
      </c>
      <c r="G16" s="59">
        <v>0.159</v>
      </c>
      <c r="H16" s="64"/>
      <c r="I16" s="60">
        <f t="shared" si="0"/>
        <v>0.29000000000000004</v>
      </c>
      <c r="J16" s="58">
        <v>1.952</v>
      </c>
      <c r="K16" s="59">
        <v>1.952</v>
      </c>
      <c r="L16" s="61"/>
      <c r="M16" s="61"/>
      <c r="N16" s="61"/>
      <c r="O16" s="59">
        <v>0.008</v>
      </c>
      <c r="P16" s="59"/>
      <c r="Q16" s="59"/>
      <c r="R16" s="59"/>
      <c r="S16" s="59"/>
      <c r="T16" s="59"/>
      <c r="U16" s="60">
        <f t="shared" si="1"/>
        <v>0.008</v>
      </c>
      <c r="V16" s="62">
        <v>29</v>
      </c>
      <c r="W16" s="62">
        <f>(10000*V16)/(41.4*99)</f>
        <v>70.75586785731714</v>
      </c>
      <c r="X16" s="62">
        <f>(W16+'01'!W16+'02'!W16+'03'!W16+'04'!W16)/5</f>
        <v>68.31601034499586</v>
      </c>
      <c r="Y16" s="59">
        <v>0.106</v>
      </c>
      <c r="Z16" s="63" t="s">
        <v>103</v>
      </c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0.141517</v>
      </c>
      <c r="F17" s="59">
        <v>0.143934</v>
      </c>
      <c r="G17" s="59" t="s">
        <v>56</v>
      </c>
      <c r="H17" s="64"/>
      <c r="I17" s="60">
        <f t="shared" si="0"/>
        <v>0.285451</v>
      </c>
      <c r="J17" s="58">
        <v>1.10303</v>
      </c>
      <c r="K17" s="59">
        <v>1.10303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13.6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0.05624</v>
      </c>
      <c r="F18" s="58">
        <v>0.012035</v>
      </c>
      <c r="G18" s="58">
        <v>0.0591</v>
      </c>
      <c r="H18" s="64"/>
      <c r="I18" s="60">
        <f t="shared" si="0"/>
        <v>0.12737500000000002</v>
      </c>
      <c r="J18" s="58">
        <v>0.506443</v>
      </c>
      <c r="K18" s="59">
        <v>0.506443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7.7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0.01638</v>
      </c>
      <c r="I19" s="60">
        <f t="shared" si="0"/>
        <v>0.01638</v>
      </c>
      <c r="J19" s="58">
        <v>0.08202000000000001</v>
      </c>
      <c r="K19" s="59">
        <v>0.08202000000000001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82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0.00377</v>
      </c>
      <c r="F20" s="58">
        <v>0.00179</v>
      </c>
      <c r="G20" s="64"/>
      <c r="H20" s="64"/>
      <c r="I20" s="60">
        <f t="shared" si="0"/>
        <v>0.00556</v>
      </c>
      <c r="J20" s="58">
        <v>0.03219</v>
      </c>
      <c r="K20" s="59">
        <v>0.03219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0.28</v>
      </c>
      <c r="W20" s="60"/>
      <c r="X20" s="62"/>
      <c r="Y20" s="59">
        <v>0.001452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0.017</v>
      </c>
      <c r="F21" s="59">
        <v>0.02</v>
      </c>
      <c r="G21" s="64"/>
      <c r="H21" s="64"/>
      <c r="I21" s="60">
        <f t="shared" si="0"/>
        <v>0.037000000000000005</v>
      </c>
      <c r="J21" s="58">
        <v>0.17900000000000002</v>
      </c>
      <c r="K21" s="59">
        <v>0.17900000000000002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1.58</v>
      </c>
      <c r="W21" s="60"/>
      <c r="X21" s="62"/>
      <c r="Y21" s="59">
        <v>0.00934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0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0.023039</v>
      </c>
      <c r="F23" s="59" t="s">
        <v>56</v>
      </c>
      <c r="G23" s="64"/>
      <c r="H23" s="64" t="s">
        <v>49</v>
      </c>
      <c r="I23" s="60">
        <f t="shared" si="0"/>
        <v>0.023039</v>
      </c>
      <c r="J23" s="58">
        <v>0.105676</v>
      </c>
      <c r="K23" s="59">
        <v>0.105676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0.95</v>
      </c>
      <c r="W23" s="60"/>
      <c r="X23" s="62"/>
      <c r="Y23" s="59">
        <v>0.0055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0.3667</v>
      </c>
      <c r="G24" s="64"/>
      <c r="H24" s="64"/>
      <c r="I24" s="60">
        <f t="shared" si="0"/>
        <v>0.3667</v>
      </c>
      <c r="J24" s="58">
        <v>1.3398</v>
      </c>
      <c r="K24" s="59">
        <v>1.3398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0.012</v>
      </c>
      <c r="Z24" s="63" t="s">
        <v>82</v>
      </c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0.043172</v>
      </c>
      <c r="F25" s="59" t="s">
        <v>56</v>
      </c>
      <c r="G25" s="64"/>
      <c r="H25" s="64"/>
      <c r="I25" s="60">
        <f t="shared" si="0"/>
        <v>0.043172</v>
      </c>
      <c r="J25" s="58">
        <v>0.207237</v>
      </c>
      <c r="K25" s="59">
        <v>0.207237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</v>
      </c>
      <c r="W25" s="59"/>
      <c r="X25" s="62"/>
      <c r="Y25" s="59">
        <v>0.012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8.2155644</v>
      </c>
      <c r="J27" s="61">
        <f>SUM(J7:J26)</f>
        <v>42.668892799999995</v>
      </c>
      <c r="K27" s="61">
        <f>SUM(K7:K26)</f>
        <v>42.668892799999995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0.008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0.008</v>
      </c>
      <c r="V27" s="78">
        <f t="shared" si="2"/>
        <v>729.8100000000002</v>
      </c>
      <c r="W27" s="60"/>
      <c r="X27" s="60"/>
      <c r="Y27" s="60">
        <f>SUM(Y7:Y26)</f>
        <v>2.3364089999999997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C33:Z33"/>
    <mergeCell ref="B28:Z28"/>
    <mergeCell ref="A29:Z29"/>
    <mergeCell ref="A30:B30"/>
    <mergeCell ref="C30:Z30"/>
    <mergeCell ref="C31:E31"/>
    <mergeCell ref="C32:J32"/>
    <mergeCell ref="V5:V6"/>
    <mergeCell ref="W5:W6"/>
    <mergeCell ref="X5:X6"/>
    <mergeCell ref="Y5:Y6"/>
    <mergeCell ref="Z5:Z6"/>
    <mergeCell ref="A27:B27"/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5">
      <selection activeCell="P21" sqref="P21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104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105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0.691664</v>
      </c>
      <c r="F7" s="58" t="s">
        <v>81</v>
      </c>
      <c r="G7" s="58">
        <v>0.33904</v>
      </c>
      <c r="H7" s="58" t="s">
        <v>51</v>
      </c>
      <c r="I7" s="60">
        <f aca="true" t="shared" si="0" ref="I7:I26">SUM(E7:H7)</f>
        <v>1.030704</v>
      </c>
      <c r="J7" s="58">
        <v>7.5960448</v>
      </c>
      <c r="K7" s="58">
        <v>7.5960448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(W7+'01'!W7+'02'!W7+'03'!W7+'04'!W7+'05'!W7)/6</f>
        <v>44.28137651821862</v>
      </c>
      <c r="Y7" s="59">
        <v>0.34156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0.37142</v>
      </c>
      <c r="F8" s="58" t="s">
        <v>56</v>
      </c>
      <c r="G8" s="58">
        <v>0.14492</v>
      </c>
      <c r="H8" s="58">
        <v>0.028994</v>
      </c>
      <c r="I8" s="60">
        <f t="shared" si="0"/>
        <v>0.545334</v>
      </c>
      <c r="J8" s="58">
        <v>4.054994</v>
      </c>
      <c r="K8" s="58">
        <v>4.054994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54</v>
      </c>
      <c r="W8" s="62">
        <f>(10000*V8)/(120*99)</f>
        <v>45.45454545454545</v>
      </c>
      <c r="X8" s="62">
        <f>(W8+'01'!W8+'02'!W8+'03'!W8+'04'!W8+'05'!W8)/6</f>
        <v>44.753086419753096</v>
      </c>
      <c r="Y8" s="59">
        <v>0.162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0.0968</v>
      </c>
      <c r="G9" s="58">
        <v>0.119</v>
      </c>
      <c r="H9" s="64"/>
      <c r="I9" s="60">
        <f t="shared" si="0"/>
        <v>0.2158</v>
      </c>
      <c r="J9" s="59">
        <v>1.4898</v>
      </c>
      <c r="K9" s="59">
        <v>1.4898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(W9+'01'!W9+'02'!W9+'03'!W9+'04'!W9+'05'!W9)/6</f>
        <v>55.20122337846407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0.16368</v>
      </c>
      <c r="G10" s="59">
        <v>0.20469</v>
      </c>
      <c r="H10" s="64"/>
      <c r="I10" s="60">
        <f t="shared" si="0"/>
        <v>0.36837</v>
      </c>
      <c r="J10" s="59">
        <v>2.46609</v>
      </c>
      <c r="K10" s="59">
        <v>2.46609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(W10+'01'!W10+'02'!W10+'03'!W10+'04'!W10+'05'!W10)/6</f>
        <v>64.1747131883972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0.15822</v>
      </c>
      <c r="F11" s="59" t="s">
        <v>51</v>
      </c>
      <c r="G11" s="59">
        <v>0.09654</v>
      </c>
      <c r="H11" s="64" t="s">
        <v>49</v>
      </c>
      <c r="I11" s="60">
        <f>SUM(E11:H11)</f>
        <v>0.25476</v>
      </c>
      <c r="J11" s="59">
        <v>1.6794000000000002</v>
      </c>
      <c r="K11" s="59">
        <v>1.6794000000000002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(W11+'01'!W11+'02'!W11+'03'!W11+'04'!W11+'05'!W11)/6</f>
        <v>67.13662302786169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0.128459</v>
      </c>
      <c r="F12" s="58">
        <v>0.586432</v>
      </c>
      <c r="G12" s="58" t="s">
        <v>51</v>
      </c>
      <c r="H12" s="64"/>
      <c r="I12" s="60">
        <f t="shared" si="0"/>
        <v>0.7148909999999999</v>
      </c>
      <c r="J12" s="58">
        <v>3.7240269999999995</v>
      </c>
      <c r="K12" s="58">
        <v>3.7240269999999995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(W12+'01'!W12+'02'!W12+'03'!W12+'04'!W12+'05'!W12)/6</f>
        <v>67.69609488642722</v>
      </c>
      <c r="Y12" s="59">
        <v>0.257267</v>
      </c>
      <c r="Z12" s="63" t="s">
        <v>93</v>
      </c>
    </row>
    <row r="13" spans="1:26" s="46" customFormat="1" ht="48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0.241</v>
      </c>
      <c r="F13" s="58" t="s">
        <v>51</v>
      </c>
      <c r="G13" s="58">
        <v>0.334</v>
      </c>
      <c r="H13" s="58">
        <v>1.236</v>
      </c>
      <c r="I13" s="60">
        <f t="shared" si="0"/>
        <v>1.811</v>
      </c>
      <c r="J13" s="58">
        <v>10.408999999999999</v>
      </c>
      <c r="K13" s="58">
        <v>10.408999999999999</v>
      </c>
      <c r="L13" s="61"/>
      <c r="M13" s="61"/>
      <c r="N13" s="61"/>
      <c r="O13" s="59"/>
      <c r="P13" s="59"/>
      <c r="Q13" s="59"/>
      <c r="R13" s="59"/>
      <c r="S13" s="59"/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(W13+'01'!W13+'02'!W13+'03'!W13+'04'!W13+'05'!W13)/6</f>
        <v>64.84804182172604</v>
      </c>
      <c r="Y13" s="59">
        <v>0.688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0.697</v>
      </c>
      <c r="F14" s="58">
        <v>0.706</v>
      </c>
      <c r="G14" s="58" t="s">
        <v>51</v>
      </c>
      <c r="H14" s="58">
        <v>0.536</v>
      </c>
      <c r="I14" s="60">
        <f t="shared" si="0"/>
        <v>1.939</v>
      </c>
      <c r="J14" s="58">
        <v>12.111</v>
      </c>
      <c r="K14" s="58">
        <v>12.111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95</v>
      </c>
      <c r="W14" s="62">
        <f>(10000*V14)/(144*99)</f>
        <v>66.63860830527497</v>
      </c>
      <c r="X14" s="62">
        <f>(W14+'01'!W14+'02'!W14+'03'!W14+'04'!W14+'05'!W14)/6</f>
        <v>66.52169846614291</v>
      </c>
      <c r="Y14" s="59">
        <v>0.286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 t="s">
        <v>56</v>
      </c>
      <c r="G15" s="59" t="s">
        <v>56</v>
      </c>
      <c r="H15" s="64"/>
      <c r="I15" s="60">
        <f t="shared" si="0"/>
        <v>0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(W15+'01'!W15+'02'!W15+'03'!W15+'04'!W15+'05'!W15)/6</f>
        <v>2.9668962196656055</v>
      </c>
      <c r="Y15" s="59">
        <v>0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0.096</v>
      </c>
      <c r="F16" s="59" t="s">
        <v>56</v>
      </c>
      <c r="G16" s="59">
        <v>0.283</v>
      </c>
      <c r="H16" s="64"/>
      <c r="I16" s="60">
        <f t="shared" si="0"/>
        <v>0.379</v>
      </c>
      <c r="J16" s="58">
        <v>2.331</v>
      </c>
      <c r="K16" s="59">
        <v>2.331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>
        <f>(W16+'01'!W16+'02'!W16+'03'!W16+'04'!W16+'05'!W16)/6</f>
        <v>68.72265326371607</v>
      </c>
      <c r="Y16" s="59">
        <v>0.103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0.14257</v>
      </c>
      <c r="F17" s="59">
        <v>0.146918</v>
      </c>
      <c r="G17" s="59" t="s">
        <v>56</v>
      </c>
      <c r="H17" s="64"/>
      <c r="I17" s="60">
        <f t="shared" si="0"/>
        <v>0.28948799999999997</v>
      </c>
      <c r="J17" s="58">
        <v>1.392518</v>
      </c>
      <c r="K17" s="59">
        <v>1.392518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13.6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0.063158</v>
      </c>
      <c r="F18" s="58" t="s">
        <v>56</v>
      </c>
      <c r="G18" s="58">
        <v>0.06752</v>
      </c>
      <c r="H18" s="64"/>
      <c r="I18" s="60">
        <f t="shared" si="0"/>
        <v>0.13067800000000002</v>
      </c>
      <c r="J18" s="58">
        <v>0.637121</v>
      </c>
      <c r="K18" s="59">
        <v>0.637121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5.8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0.01604</v>
      </c>
      <c r="I19" s="60">
        <f t="shared" si="0"/>
        <v>0.01604</v>
      </c>
      <c r="J19" s="58">
        <v>0.09806000000000001</v>
      </c>
      <c r="K19" s="59">
        <v>0.09806000000000001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82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0.00508</v>
      </c>
      <c r="F20" s="58" t="s">
        <v>56</v>
      </c>
      <c r="G20" s="64"/>
      <c r="H20" s="64"/>
      <c r="I20" s="60">
        <f t="shared" si="0"/>
        <v>0.00508</v>
      </c>
      <c r="J20" s="58">
        <v>0.037270000000000005</v>
      </c>
      <c r="K20" s="59">
        <v>0.037270000000000005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0.545</v>
      </c>
      <c r="W20" s="60"/>
      <c r="X20" s="62"/>
      <c r="Y20" s="59">
        <v>0.0137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0.014</v>
      </c>
      <c r="F21" s="59">
        <v>0.016</v>
      </c>
      <c r="G21" s="64"/>
      <c r="H21" s="64"/>
      <c r="I21" s="60">
        <f t="shared" si="0"/>
        <v>0.03</v>
      </c>
      <c r="J21" s="58">
        <v>0.20900000000000002</v>
      </c>
      <c r="K21" s="59">
        <v>0.20900000000000002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1.58</v>
      </c>
      <c r="W21" s="60"/>
      <c r="X21" s="62"/>
      <c r="Y21" s="59">
        <v>0.00546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0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0.020928</v>
      </c>
      <c r="F23" s="59" t="s">
        <v>56</v>
      </c>
      <c r="G23" s="64"/>
      <c r="H23" s="64" t="s">
        <v>49</v>
      </c>
      <c r="I23" s="60">
        <f t="shared" si="0"/>
        <v>0.020928</v>
      </c>
      <c r="J23" s="58">
        <v>0.126604</v>
      </c>
      <c r="K23" s="59">
        <v>0.126604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0.95</v>
      </c>
      <c r="W23" s="60"/>
      <c r="X23" s="62"/>
      <c r="Y23" s="59">
        <v>0.0053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0.2455</v>
      </c>
      <c r="G24" s="64"/>
      <c r="H24" s="64"/>
      <c r="I24" s="60">
        <f t="shared" si="0"/>
        <v>0.2455</v>
      </c>
      <c r="J24" s="58">
        <v>1.5853000000000002</v>
      </c>
      <c r="K24" s="59">
        <v>1.5853000000000002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0.2455</v>
      </c>
      <c r="Z24" s="63" t="s">
        <v>82</v>
      </c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0.044275</v>
      </c>
      <c r="F25" s="59" t="s">
        <v>56</v>
      </c>
      <c r="G25" s="64"/>
      <c r="H25" s="64"/>
      <c r="I25" s="60">
        <f t="shared" si="0"/>
        <v>0.044275</v>
      </c>
      <c r="J25" s="58">
        <v>0.251512</v>
      </c>
      <c r="K25" s="59">
        <v>0.251512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</v>
      </c>
      <c r="W25" s="59"/>
      <c r="X25" s="62"/>
      <c r="Y25" s="59">
        <v>0.011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8.040848</v>
      </c>
      <c r="J27" s="61">
        <f>SUM(J7:J26)</f>
        <v>50.7097408</v>
      </c>
      <c r="K27" s="61">
        <f>SUM(K7:K26)</f>
        <v>50.7097408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736.1750000000001</v>
      </c>
      <c r="W27" s="60"/>
      <c r="X27" s="60"/>
      <c r="Y27" s="60">
        <f>SUM(Y7:Y26)</f>
        <v>2.419887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C33:Z33"/>
    <mergeCell ref="B28:Z28"/>
    <mergeCell ref="A29:Z29"/>
    <mergeCell ref="A30:B30"/>
    <mergeCell ref="C30:Z30"/>
    <mergeCell ref="C31:E31"/>
    <mergeCell ref="C32:J32"/>
    <mergeCell ref="V5:V6"/>
    <mergeCell ref="W5:W6"/>
    <mergeCell ref="X5:X6"/>
    <mergeCell ref="Y5:Y6"/>
    <mergeCell ref="Z5:Z6"/>
    <mergeCell ref="A27:B27"/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3">
      <selection activeCell="Q24" sqref="Q24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107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108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0.723888</v>
      </c>
      <c r="F7" s="58" t="s">
        <v>81</v>
      </c>
      <c r="G7" s="58">
        <v>0.4158304</v>
      </c>
      <c r="H7" s="58" t="s">
        <v>51</v>
      </c>
      <c r="I7" s="60">
        <f aca="true" t="shared" si="0" ref="I7:I26">SUM(E7:H7)</f>
        <v>1.1397184</v>
      </c>
      <c r="J7" s="58">
        <v>8.7357632</v>
      </c>
      <c r="K7" s="58">
        <v>8.7357632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(W7+'01'!W7+'02'!W7+'03'!W7+'04'!W7+'05'!W7+'06'!W7)/7</f>
        <v>44.28137651821862</v>
      </c>
      <c r="Y7" s="59">
        <v>0.3428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0.21434</v>
      </c>
      <c r="F8" s="58" t="s">
        <v>56</v>
      </c>
      <c r="G8" s="58">
        <v>0.38796</v>
      </c>
      <c r="H8" s="58" t="s">
        <v>56</v>
      </c>
      <c r="I8" s="60">
        <f t="shared" si="0"/>
        <v>0.6023000000000001</v>
      </c>
      <c r="J8" s="58">
        <v>4.657294</v>
      </c>
      <c r="K8" s="58">
        <v>4.657294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54</v>
      </c>
      <c r="W8" s="62">
        <f>(10000*V8)/(120*99)</f>
        <v>45.45454545454545</v>
      </c>
      <c r="X8" s="62">
        <f>(W8+'01'!W8+'02'!W8+'03'!W8+'04'!W8+'05'!W8+'06'!W8)/7</f>
        <v>44.85329485329486</v>
      </c>
      <c r="Y8" s="59">
        <v>0.162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0.0854</v>
      </c>
      <c r="G9" s="58">
        <v>0.126</v>
      </c>
      <c r="H9" s="64"/>
      <c r="I9" s="60">
        <f t="shared" si="0"/>
        <v>0.2114</v>
      </c>
      <c r="J9" s="59">
        <v>1.7012</v>
      </c>
      <c r="K9" s="59">
        <v>1.7012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(W9+'01'!W9+'02'!W9+'03'!W9+'04'!W9+'05'!W9+'06'!W9)/7</f>
        <v>55.20122337846407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0.1434</v>
      </c>
      <c r="G10" s="59">
        <v>0.20904</v>
      </c>
      <c r="H10" s="64"/>
      <c r="I10" s="60">
        <f t="shared" si="0"/>
        <v>0.35244</v>
      </c>
      <c r="J10" s="59">
        <v>2.81853</v>
      </c>
      <c r="K10" s="59">
        <v>2.81853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(W10+'01'!W10+'02'!W10+'03'!W10+'04'!W10+'05'!W10+'06'!W10)/7</f>
        <v>64.1747131883972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0.17106</v>
      </c>
      <c r="F11" s="59" t="s">
        <v>51</v>
      </c>
      <c r="G11" s="59">
        <v>0.08856</v>
      </c>
      <c r="H11" s="64" t="s">
        <v>49</v>
      </c>
      <c r="I11" s="60">
        <f>SUM(E11:H11)</f>
        <v>0.25961999999999996</v>
      </c>
      <c r="J11" s="59">
        <v>1.9390200000000002</v>
      </c>
      <c r="K11" s="59">
        <v>1.9390200000000002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(W11+'01'!W11+'02'!W11+'03'!W11+'04'!W11+'05'!W11+'06'!W11)/7</f>
        <v>67.13662302786169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0.129355</v>
      </c>
      <c r="F12" s="58">
        <v>0.581875</v>
      </c>
      <c r="G12" s="58" t="s">
        <v>51</v>
      </c>
      <c r="H12" s="64"/>
      <c r="I12" s="60">
        <f t="shared" si="0"/>
        <v>0.71123</v>
      </c>
      <c r="J12" s="58">
        <v>4.435257</v>
      </c>
      <c r="K12" s="58">
        <v>4.435257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(W12+'01'!W12+'02'!W12+'03'!W12+'04'!W12+'05'!W12+'06'!W12)/7</f>
        <v>68.89496315478189</v>
      </c>
      <c r="Y12" s="59">
        <v>0.257266</v>
      </c>
      <c r="Z12" s="63" t="s">
        <v>93</v>
      </c>
    </row>
    <row r="13" spans="1:26" s="46" customFormat="1" ht="48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0.237</v>
      </c>
      <c r="F13" s="58" t="s">
        <v>51</v>
      </c>
      <c r="G13" s="58">
        <v>0.348</v>
      </c>
      <c r="H13" s="58">
        <v>1.272</v>
      </c>
      <c r="I13" s="60">
        <f t="shared" si="0"/>
        <v>1.857</v>
      </c>
      <c r="J13" s="58">
        <v>12.265999999999998</v>
      </c>
      <c r="K13" s="58">
        <v>12.265999999999998</v>
      </c>
      <c r="L13" s="61"/>
      <c r="M13" s="61"/>
      <c r="N13" s="61"/>
      <c r="O13" s="59"/>
      <c r="P13" s="59"/>
      <c r="Q13" s="59"/>
      <c r="R13" s="59"/>
      <c r="S13" s="59"/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(W13+'01'!W13+'02'!W13+'03'!W13+'04'!W13+'05'!W13+'06'!W13)/7</f>
        <v>66.45401382243487</v>
      </c>
      <c r="Y13" s="59">
        <v>0.648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0.681</v>
      </c>
      <c r="F14" s="58">
        <v>0.691</v>
      </c>
      <c r="G14" s="58" t="s">
        <v>51</v>
      </c>
      <c r="H14" s="58">
        <v>0.532</v>
      </c>
      <c r="I14" s="60">
        <f t="shared" si="0"/>
        <v>1.904</v>
      </c>
      <c r="J14" s="58">
        <v>14.015</v>
      </c>
      <c r="K14" s="58">
        <v>14.015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92</v>
      </c>
      <c r="W14" s="62">
        <f>(10000*V14)/(144*99)</f>
        <v>64.53423120089786</v>
      </c>
      <c r="X14" s="62">
        <f>(W14+'01'!W14+'02'!W14+'03'!W14+'04'!W14+'05'!W14+'06'!W14)/7</f>
        <v>66.2377745711079</v>
      </c>
      <c r="Y14" s="59">
        <v>0.277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 t="s">
        <v>56</v>
      </c>
      <c r="G15" s="59" t="s">
        <v>56</v>
      </c>
      <c r="H15" s="64"/>
      <c r="I15" s="60">
        <f t="shared" si="0"/>
        <v>0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(W15+'01'!W15+'02'!W15+'03'!W15+'04'!W15+'05'!W15+'06'!W15)/7</f>
        <v>2.543053902570519</v>
      </c>
      <c r="Y15" s="59">
        <v>0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0.095</v>
      </c>
      <c r="F16" s="59" t="s">
        <v>56</v>
      </c>
      <c r="G16" s="59">
        <v>0.277</v>
      </c>
      <c r="H16" s="64"/>
      <c r="I16" s="60">
        <f t="shared" si="0"/>
        <v>0.372</v>
      </c>
      <c r="J16" s="58">
        <v>2.703</v>
      </c>
      <c r="K16" s="59">
        <v>2.703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>
        <f>(W16+'01'!W16+'02'!W16+'03'!W16+'04'!W16+'05'!W16+'06'!W16)/7</f>
        <v>69.01311249137336</v>
      </c>
      <c r="Y16" s="59">
        <v>0.098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0.160922</v>
      </c>
      <c r="F17" s="59">
        <v>0.164322</v>
      </c>
      <c r="G17" s="59" t="s">
        <v>56</v>
      </c>
      <c r="H17" s="64"/>
      <c r="I17" s="60">
        <f t="shared" si="0"/>
        <v>0.325244</v>
      </c>
      <c r="J17" s="58">
        <v>1.717762</v>
      </c>
      <c r="K17" s="59">
        <v>1.717762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13.6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0.051918</v>
      </c>
      <c r="F18" s="58">
        <v>0.02515</v>
      </c>
      <c r="G18" s="58">
        <v>0.05761</v>
      </c>
      <c r="H18" s="64"/>
      <c r="I18" s="60">
        <f t="shared" si="0"/>
        <v>0.134678</v>
      </c>
      <c r="J18" s="58">
        <v>0.771799</v>
      </c>
      <c r="K18" s="59">
        <v>0.771799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7.7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0.0162</v>
      </c>
      <c r="I19" s="60">
        <f t="shared" si="0"/>
        <v>0.0162</v>
      </c>
      <c r="J19" s="58">
        <v>0.11426</v>
      </c>
      <c r="K19" s="59">
        <v>0.11426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82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0.00047</v>
      </c>
      <c r="F20" s="58">
        <v>0.00171</v>
      </c>
      <c r="G20" s="64"/>
      <c r="H20" s="64"/>
      <c r="I20" s="60">
        <f t="shared" si="0"/>
        <v>0.00218</v>
      </c>
      <c r="J20" s="58">
        <v>0.039450000000000006</v>
      </c>
      <c r="K20" s="59">
        <v>0.039450000000000006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0.474</v>
      </c>
      <c r="W20" s="60"/>
      <c r="X20" s="62"/>
      <c r="Y20" s="59">
        <v>0.001041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0.017</v>
      </c>
      <c r="F21" s="59">
        <v>0.02</v>
      </c>
      <c r="G21" s="64"/>
      <c r="H21" s="64"/>
      <c r="I21" s="60">
        <f t="shared" si="0"/>
        <v>0.037000000000000005</v>
      </c>
      <c r="J21" s="58">
        <v>0.42600000000000005</v>
      </c>
      <c r="K21" s="59">
        <v>0.42600000000000005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1.62</v>
      </c>
      <c r="W21" s="60"/>
      <c r="X21" s="62"/>
      <c r="Y21" s="59">
        <v>0.00944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0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0.021157</v>
      </c>
      <c r="F23" s="59" t="s">
        <v>56</v>
      </c>
      <c r="G23" s="64"/>
      <c r="H23" s="64" t="s">
        <v>49</v>
      </c>
      <c r="I23" s="60">
        <f t="shared" si="0"/>
        <v>0.021157</v>
      </c>
      <c r="J23" s="58">
        <v>0.147761</v>
      </c>
      <c r="K23" s="59">
        <v>0.147761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0.95</v>
      </c>
      <c r="W23" s="60"/>
      <c r="X23" s="62"/>
      <c r="Y23" s="59">
        <v>0.00545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0.2457</v>
      </c>
      <c r="G24" s="64"/>
      <c r="H24" s="64"/>
      <c r="I24" s="60">
        <f t="shared" si="0"/>
        <v>0.2457</v>
      </c>
      <c r="J24" s="58">
        <v>1.8310000000000002</v>
      </c>
      <c r="K24" s="59">
        <v>1.8310000000000002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0.2457</v>
      </c>
      <c r="Z24" s="63" t="s">
        <v>82</v>
      </c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0.041216</v>
      </c>
      <c r="F25" s="59" t="s">
        <v>56</v>
      </c>
      <c r="G25" s="64"/>
      <c r="H25" s="64"/>
      <c r="I25" s="60">
        <f t="shared" si="0"/>
        <v>0.041216</v>
      </c>
      <c r="J25" s="58">
        <v>0.292728</v>
      </c>
      <c r="K25" s="59">
        <v>0.292728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</v>
      </c>
      <c r="W25" s="59"/>
      <c r="X25" s="62"/>
      <c r="Y25" s="59">
        <v>0.0117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8.2330834</v>
      </c>
      <c r="J27" s="61">
        <f>SUM(J7:J26)</f>
        <v>59.12282420000001</v>
      </c>
      <c r="K27" s="61">
        <f>SUM(K7:K26)</f>
        <v>59.12282420000001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735.0440000000002</v>
      </c>
      <c r="W27" s="60"/>
      <c r="X27" s="60"/>
      <c r="Y27" s="60">
        <f>SUM(Y7:Y26)</f>
        <v>2.359497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C33:Z33"/>
    <mergeCell ref="B28:Z28"/>
    <mergeCell ref="A29:Z29"/>
    <mergeCell ref="A30:B30"/>
    <mergeCell ref="C30:Z30"/>
    <mergeCell ref="C31:E31"/>
    <mergeCell ref="C32:J32"/>
    <mergeCell ref="V5:V6"/>
    <mergeCell ref="W5:W6"/>
    <mergeCell ref="X5:X6"/>
    <mergeCell ref="Y5:Y6"/>
    <mergeCell ref="Z5:Z6"/>
    <mergeCell ref="A27:B27"/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0"/>
  <sheetViews>
    <sheetView view="pageBreakPreview" zoomScale="37" zoomScaleNormal="30" zoomScaleSheetLayoutView="37" zoomScalePageLayoutView="0" workbookViewId="0" topLeftCell="A1">
      <selection activeCell="Q11" sqref="Q11"/>
    </sheetView>
  </sheetViews>
  <sheetFormatPr defaultColWidth="9.140625" defaultRowHeight="12.75"/>
  <cols>
    <col min="1" max="1" width="12.57421875" style="40" customWidth="1"/>
    <col min="2" max="2" width="32.140625" style="40" customWidth="1"/>
    <col min="3" max="3" width="32.00390625" style="40" customWidth="1"/>
    <col min="4" max="4" width="13.8515625" style="40" hidden="1" customWidth="1"/>
    <col min="5" max="5" width="21.421875" style="40" customWidth="1"/>
    <col min="6" max="6" width="18.57421875" style="40" customWidth="1"/>
    <col min="7" max="7" width="18.421875" style="40" customWidth="1"/>
    <col min="8" max="8" width="17.00390625" style="40" customWidth="1"/>
    <col min="9" max="9" width="31.7109375" style="40" customWidth="1"/>
    <col min="10" max="10" width="25.28125" style="40" customWidth="1"/>
    <col min="11" max="11" width="29.00390625" style="40" customWidth="1"/>
    <col min="12" max="12" width="19.140625" style="40" hidden="1" customWidth="1"/>
    <col min="13" max="14" width="15.7109375" style="40" hidden="1" customWidth="1"/>
    <col min="15" max="15" width="21.7109375" style="40" customWidth="1"/>
    <col min="16" max="16" width="17.8515625" style="40" customWidth="1"/>
    <col min="17" max="17" width="20.8515625" style="40" customWidth="1"/>
    <col min="18" max="18" width="18.57421875" style="40" customWidth="1"/>
    <col min="19" max="19" width="18.28125" style="40" customWidth="1"/>
    <col min="20" max="20" width="18.8515625" style="40" customWidth="1"/>
    <col min="21" max="21" width="17.57421875" style="40" customWidth="1"/>
    <col min="22" max="22" width="22.7109375" style="40" customWidth="1"/>
    <col min="23" max="23" width="18.28125" style="40" customWidth="1"/>
    <col min="24" max="24" width="20.421875" style="40" customWidth="1"/>
    <col min="25" max="25" width="19.421875" style="40" customWidth="1"/>
    <col min="26" max="26" width="141.7109375" style="40" customWidth="1"/>
    <col min="27" max="27" width="15.421875" style="40" customWidth="1"/>
    <col min="28" max="16384" width="9.140625" style="40" customWidth="1"/>
  </cols>
  <sheetData>
    <row r="2" spans="1:26" s="46" customFormat="1" ht="37.5" customHeight="1">
      <c r="A2" s="88" t="s">
        <v>109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81" t="s">
        <v>110</v>
      </c>
    </row>
    <row r="5" spans="1:26" s="41" customFormat="1" ht="78.75" customHeight="1">
      <c r="A5" s="90" t="s">
        <v>0</v>
      </c>
      <c r="B5" s="90" t="s">
        <v>57</v>
      </c>
      <c r="C5" s="90" t="s">
        <v>2</v>
      </c>
      <c r="D5" s="90" t="s">
        <v>43</v>
      </c>
      <c r="E5" s="90" t="s">
        <v>3</v>
      </c>
      <c r="F5" s="90"/>
      <c r="G5" s="90"/>
      <c r="H5" s="90"/>
      <c r="I5" s="90"/>
      <c r="J5" s="90" t="s">
        <v>4</v>
      </c>
      <c r="K5" s="90" t="s">
        <v>5</v>
      </c>
      <c r="L5" s="2" t="s">
        <v>6</v>
      </c>
      <c r="M5" s="2" t="s">
        <v>7</v>
      </c>
      <c r="N5" s="2" t="s">
        <v>8</v>
      </c>
      <c r="O5" s="90" t="s">
        <v>9</v>
      </c>
      <c r="P5" s="90"/>
      <c r="Q5" s="90"/>
      <c r="R5" s="90"/>
      <c r="S5" s="90"/>
      <c r="T5" s="90"/>
      <c r="U5" s="90"/>
      <c r="V5" s="90" t="s">
        <v>73</v>
      </c>
      <c r="W5" s="90" t="s">
        <v>66</v>
      </c>
      <c r="X5" s="90" t="s">
        <v>67</v>
      </c>
      <c r="Y5" s="91" t="s">
        <v>72</v>
      </c>
      <c r="Z5" s="90" t="s">
        <v>50</v>
      </c>
    </row>
    <row r="6" spans="1:26" s="42" customFormat="1" ht="144.75" customHeight="1">
      <c r="A6" s="90"/>
      <c r="B6" s="90"/>
      <c r="C6" s="90"/>
      <c r="D6" s="90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90"/>
      <c r="K6" s="90"/>
      <c r="L6" s="2"/>
      <c r="M6" s="2"/>
      <c r="N6" s="2"/>
      <c r="O6" s="2" t="s">
        <v>15</v>
      </c>
      <c r="P6" s="2" t="s">
        <v>16</v>
      </c>
      <c r="Q6" s="2" t="s">
        <v>52</v>
      </c>
      <c r="R6" s="2" t="s">
        <v>53</v>
      </c>
      <c r="S6" s="2" t="s">
        <v>47</v>
      </c>
      <c r="T6" s="2" t="s">
        <v>17</v>
      </c>
      <c r="U6" s="2" t="s">
        <v>14</v>
      </c>
      <c r="V6" s="90"/>
      <c r="W6" s="90"/>
      <c r="X6" s="90"/>
      <c r="Y6" s="92"/>
      <c r="Z6" s="90"/>
    </row>
    <row r="7" spans="1:27" s="44" customFormat="1" ht="82.5" customHeight="1">
      <c r="A7" s="32">
        <v>1</v>
      </c>
      <c r="B7" s="33" t="s">
        <v>18</v>
      </c>
      <c r="C7" s="54" t="s">
        <v>19</v>
      </c>
      <c r="D7" s="28">
        <f>185*24/1000</f>
        <v>4.44</v>
      </c>
      <c r="E7" s="58">
        <v>0.721648</v>
      </c>
      <c r="F7" s="58" t="s">
        <v>81</v>
      </c>
      <c r="G7" s="58">
        <v>0.3832784</v>
      </c>
      <c r="H7" s="58" t="s">
        <v>51</v>
      </c>
      <c r="I7" s="60">
        <f aca="true" t="shared" si="0" ref="I7:I26">SUM(E7:H7)</f>
        <v>1.1049264</v>
      </c>
      <c r="J7" s="58">
        <v>9.8406896</v>
      </c>
      <c r="K7" s="58">
        <v>9.8406896</v>
      </c>
      <c r="L7" s="61"/>
      <c r="M7" s="61"/>
      <c r="N7" s="61"/>
      <c r="O7" s="59"/>
      <c r="P7" s="59"/>
      <c r="Q7" s="59"/>
      <c r="R7" s="59"/>
      <c r="S7" s="59"/>
      <c r="T7" s="59"/>
      <c r="U7" s="60">
        <f>SUM(O7:T7)</f>
        <v>0</v>
      </c>
      <c r="V7" s="62">
        <v>105</v>
      </c>
      <c r="W7" s="62">
        <f>(10000*V7)/(240*98.8)</f>
        <v>44.28137651821862</v>
      </c>
      <c r="X7" s="62">
        <f>(W7+'01'!W7+'02'!W7+'03'!W7+'04'!W7+'05'!W7+'06'!W7+'07'!W7)/8</f>
        <v>44.28137651821862</v>
      </c>
      <c r="Y7" s="59">
        <v>0.34408</v>
      </c>
      <c r="Z7" s="63" t="s">
        <v>90</v>
      </c>
      <c r="AA7" s="43"/>
    </row>
    <row r="8" spans="1:27" s="46" customFormat="1" ht="68.25" customHeight="1">
      <c r="A8" s="32">
        <v>2</v>
      </c>
      <c r="B8" s="33" t="s">
        <v>20</v>
      </c>
      <c r="C8" s="54" t="s">
        <v>21</v>
      </c>
      <c r="D8" s="28">
        <f>83*24/1000</f>
        <v>1.992</v>
      </c>
      <c r="E8" s="58">
        <v>0.196</v>
      </c>
      <c r="F8" s="58" t="s">
        <v>56</v>
      </c>
      <c r="G8" s="58">
        <v>0.24294</v>
      </c>
      <c r="H8" s="58">
        <v>0.14261</v>
      </c>
      <c r="I8" s="60">
        <f t="shared" si="0"/>
        <v>0.58155</v>
      </c>
      <c r="J8" s="58">
        <v>5.238844</v>
      </c>
      <c r="K8" s="58">
        <v>5.238844</v>
      </c>
      <c r="L8" s="61"/>
      <c r="M8" s="61"/>
      <c r="N8" s="61"/>
      <c r="O8" s="59"/>
      <c r="P8" s="59"/>
      <c r="Q8" s="59"/>
      <c r="R8" s="59"/>
      <c r="S8" s="59"/>
      <c r="T8" s="59"/>
      <c r="U8" s="60">
        <f aca="true" t="shared" si="1" ref="U8:U26">SUM(O8:T8)</f>
        <v>0</v>
      </c>
      <c r="V8" s="62">
        <v>54</v>
      </c>
      <c r="W8" s="62">
        <f>(10000*V8)/(120*99)</f>
        <v>45.45454545454545</v>
      </c>
      <c r="X8" s="62">
        <f>(W8+'01'!W8+'02'!W8+'03'!W8+'04'!W8+'05'!W8+'06'!W8+'07'!W8)/8</f>
        <v>44.92845117845118</v>
      </c>
      <c r="Y8" s="59">
        <v>0.162</v>
      </c>
      <c r="Z8" s="63"/>
      <c r="AA8" s="45"/>
    </row>
    <row r="9" spans="1:26" s="47" customFormat="1" ht="64.5" customHeight="1">
      <c r="A9" s="31">
        <v>3</v>
      </c>
      <c r="B9" s="34" t="s">
        <v>22</v>
      </c>
      <c r="C9" s="55" t="s">
        <v>23</v>
      </c>
      <c r="D9" s="30">
        <f>30.5*24/1000</f>
        <v>0.732</v>
      </c>
      <c r="E9" s="58" t="s">
        <v>79</v>
      </c>
      <c r="F9" s="58">
        <v>0.0825</v>
      </c>
      <c r="G9" s="58">
        <v>0.134</v>
      </c>
      <c r="H9" s="64"/>
      <c r="I9" s="60">
        <f t="shared" si="0"/>
        <v>0.21650000000000003</v>
      </c>
      <c r="J9" s="59">
        <v>1.9177</v>
      </c>
      <c r="K9" s="59">
        <v>1.9177</v>
      </c>
      <c r="L9" s="60"/>
      <c r="M9" s="60"/>
      <c r="N9" s="60"/>
      <c r="O9" s="59"/>
      <c r="P9" s="59"/>
      <c r="Q9" s="59"/>
      <c r="R9" s="59"/>
      <c r="S9" s="59"/>
      <c r="T9" s="59"/>
      <c r="U9" s="60">
        <f t="shared" si="1"/>
        <v>0</v>
      </c>
      <c r="V9" s="62">
        <v>18.5</v>
      </c>
      <c r="W9" s="62">
        <f>(10000*V9)/(33.75*99.3)</f>
        <v>55.201223378464064</v>
      </c>
      <c r="X9" s="62">
        <f>(W9+'01'!W9+'02'!W9+'03'!W9+'04'!W9+'05'!W9+'06'!W9+'07'!W9)/8</f>
        <v>55.20122337846407</v>
      </c>
      <c r="Y9" s="59">
        <v>0.055</v>
      </c>
      <c r="Z9" s="63" t="s">
        <v>80</v>
      </c>
    </row>
    <row r="10" spans="1:26" s="47" customFormat="1" ht="69" customHeight="1">
      <c r="A10" s="31">
        <v>4</v>
      </c>
      <c r="B10" s="34" t="s">
        <v>24</v>
      </c>
      <c r="C10" s="55" t="s">
        <v>25</v>
      </c>
      <c r="D10" s="30">
        <f>46*24/1000</f>
        <v>1.104</v>
      </c>
      <c r="E10" s="58" t="s">
        <v>51</v>
      </c>
      <c r="F10" s="58">
        <v>0.17736</v>
      </c>
      <c r="G10" s="59">
        <v>0.17388</v>
      </c>
      <c r="H10" s="64"/>
      <c r="I10" s="60">
        <f t="shared" si="0"/>
        <v>0.35124</v>
      </c>
      <c r="J10" s="59">
        <v>3.1697699999999998</v>
      </c>
      <c r="K10" s="59">
        <v>3.1697699999999998</v>
      </c>
      <c r="L10" s="60"/>
      <c r="M10" s="60"/>
      <c r="N10" s="60"/>
      <c r="O10" s="59"/>
      <c r="P10" s="59"/>
      <c r="Q10" s="59"/>
      <c r="R10" s="59"/>
      <c r="S10" s="59"/>
      <c r="T10" s="59"/>
      <c r="U10" s="60">
        <f t="shared" si="1"/>
        <v>0</v>
      </c>
      <c r="V10" s="62">
        <v>32.5</v>
      </c>
      <c r="W10" s="62">
        <f>(10000*V10)/(51*99.3)</f>
        <v>64.1747131883972</v>
      </c>
      <c r="X10" s="62">
        <f>(W10+'01'!W10+'02'!W10+'03'!W10+'04'!W10+'05'!W10+'06'!W10+'07'!W10)/8</f>
        <v>64.1747131883972</v>
      </c>
      <c r="Y10" s="59">
        <v>0.102</v>
      </c>
      <c r="Z10" s="63" t="s">
        <v>89</v>
      </c>
    </row>
    <row r="11" spans="1:26" s="47" customFormat="1" ht="69" customHeight="1">
      <c r="A11" s="31">
        <v>5</v>
      </c>
      <c r="B11" s="34" t="s">
        <v>26</v>
      </c>
      <c r="C11" s="55" t="s">
        <v>27</v>
      </c>
      <c r="D11" s="30">
        <f>30*24/1000</f>
        <v>0.72</v>
      </c>
      <c r="E11" s="59">
        <v>0.15756</v>
      </c>
      <c r="F11" s="59" t="s">
        <v>51</v>
      </c>
      <c r="G11" s="59">
        <v>0.08658</v>
      </c>
      <c r="H11" s="64" t="s">
        <v>49</v>
      </c>
      <c r="I11" s="60">
        <f>SUM(E11:H11)</f>
        <v>0.24414000000000002</v>
      </c>
      <c r="J11" s="59">
        <v>2.18316</v>
      </c>
      <c r="K11" s="59">
        <v>2.18316</v>
      </c>
      <c r="L11" s="60"/>
      <c r="M11" s="60"/>
      <c r="N11" s="60"/>
      <c r="O11" s="59"/>
      <c r="P11" s="59"/>
      <c r="Q11" s="59"/>
      <c r="R11" s="59"/>
      <c r="S11" s="59"/>
      <c r="T11" s="59"/>
      <c r="U11" s="60">
        <f t="shared" si="1"/>
        <v>0</v>
      </c>
      <c r="V11" s="62">
        <v>20</v>
      </c>
      <c r="W11" s="62">
        <f>(10000*V11)/(30*99.3)</f>
        <v>67.1366230278617</v>
      </c>
      <c r="X11" s="62">
        <f>(W11+'01'!W11+'02'!W11+'03'!W11+'04'!W11+'05'!W11+'06'!W11+'07'!W11)/8</f>
        <v>67.13662302786169</v>
      </c>
      <c r="Y11" s="59">
        <v>0.05</v>
      </c>
      <c r="Z11" s="63" t="s">
        <v>106</v>
      </c>
    </row>
    <row r="12" spans="1:26" s="46" customFormat="1" ht="69.75" customHeight="1">
      <c r="A12" s="32">
        <v>6</v>
      </c>
      <c r="B12" s="35" t="s">
        <v>28</v>
      </c>
      <c r="C12" s="54" t="s">
        <v>46</v>
      </c>
      <c r="D12" s="28">
        <f>90*24/1000</f>
        <v>2.16</v>
      </c>
      <c r="E12" s="58">
        <v>0.128725</v>
      </c>
      <c r="F12" s="58">
        <v>0.583195</v>
      </c>
      <c r="G12" s="58" t="s">
        <v>51</v>
      </c>
      <c r="H12" s="64"/>
      <c r="I12" s="60">
        <f t="shared" si="0"/>
        <v>0.71192</v>
      </c>
      <c r="J12" s="58">
        <v>5.147177</v>
      </c>
      <c r="K12" s="58">
        <v>5.147177</v>
      </c>
      <c r="L12" s="61"/>
      <c r="M12" s="61"/>
      <c r="N12" s="61"/>
      <c r="O12" s="59"/>
      <c r="P12" s="59"/>
      <c r="Q12" s="59"/>
      <c r="R12" s="59"/>
      <c r="S12" s="59"/>
      <c r="T12" s="59"/>
      <c r="U12" s="60">
        <f>SUM(O12:T12)</f>
        <v>0</v>
      </c>
      <c r="V12" s="62">
        <v>68</v>
      </c>
      <c r="W12" s="62">
        <f>(10000*V12)/(90*99.3)</f>
        <v>76.08817276490993</v>
      </c>
      <c r="X12" s="62">
        <f>(W12+'01'!W12+'02'!W12+'03'!W12+'04'!W12+'05'!W12+'06'!W12+'07'!W12)/8</f>
        <v>69.79411435604788</v>
      </c>
      <c r="Y12" s="59">
        <v>0.25726</v>
      </c>
      <c r="Z12" s="63" t="s">
        <v>93</v>
      </c>
    </row>
    <row r="13" spans="1:26" s="46" customFormat="1" ht="48">
      <c r="A13" s="32">
        <v>7</v>
      </c>
      <c r="B13" s="35" t="s">
        <v>29</v>
      </c>
      <c r="C13" s="54" t="s">
        <v>30</v>
      </c>
      <c r="D13" s="28">
        <f>300*24/1000</f>
        <v>7.2</v>
      </c>
      <c r="E13" s="58">
        <v>0.236</v>
      </c>
      <c r="F13" s="58" t="s">
        <v>51</v>
      </c>
      <c r="G13" s="58">
        <v>0.574</v>
      </c>
      <c r="H13" s="58">
        <v>1.051</v>
      </c>
      <c r="I13" s="60">
        <f t="shared" si="0"/>
        <v>1.8609999999999998</v>
      </c>
      <c r="J13" s="58">
        <v>14.126999999999999</v>
      </c>
      <c r="K13" s="58">
        <v>14.126999999999999</v>
      </c>
      <c r="L13" s="61"/>
      <c r="M13" s="61"/>
      <c r="N13" s="61"/>
      <c r="O13" s="59"/>
      <c r="P13" s="59"/>
      <c r="Q13" s="59"/>
      <c r="R13" s="59"/>
      <c r="S13" s="59"/>
      <c r="T13" s="59"/>
      <c r="U13" s="60">
        <f>SUM(O13:T13)</f>
        <v>0</v>
      </c>
      <c r="V13" s="62">
        <v>229</v>
      </c>
      <c r="W13" s="62">
        <f>(10000*V13)/(304*99)</f>
        <v>76.08984582668793</v>
      </c>
      <c r="X13" s="62">
        <f>(W13+'01'!W13+'02'!W13+'03'!W13+'04'!W13+'05'!W13+'06'!W13+'07'!W13)/8</f>
        <v>67.65849282296651</v>
      </c>
      <c r="Y13" s="59">
        <v>0.688</v>
      </c>
      <c r="Z13" s="63" t="s">
        <v>96</v>
      </c>
    </row>
    <row r="14" spans="1:26" s="46" customFormat="1" ht="63" customHeight="1">
      <c r="A14" s="32">
        <v>8</v>
      </c>
      <c r="B14" s="33" t="s">
        <v>31</v>
      </c>
      <c r="C14" s="54" t="s">
        <v>32</v>
      </c>
      <c r="D14" s="28">
        <f>135*24/1000</f>
        <v>3.24</v>
      </c>
      <c r="E14" s="58">
        <v>0.671</v>
      </c>
      <c r="F14" s="58">
        <v>0.68</v>
      </c>
      <c r="G14" s="58" t="s">
        <v>51</v>
      </c>
      <c r="H14" s="58">
        <v>0.544</v>
      </c>
      <c r="I14" s="60">
        <f t="shared" si="0"/>
        <v>1.895</v>
      </c>
      <c r="J14" s="58">
        <v>15.91</v>
      </c>
      <c r="K14" s="58">
        <v>15.91</v>
      </c>
      <c r="L14" s="61"/>
      <c r="M14" s="61"/>
      <c r="N14" s="61"/>
      <c r="O14" s="59"/>
      <c r="P14" s="59"/>
      <c r="Q14" s="59"/>
      <c r="R14" s="59"/>
      <c r="S14" s="59"/>
      <c r="T14" s="59"/>
      <c r="U14" s="60">
        <f t="shared" si="1"/>
        <v>0</v>
      </c>
      <c r="V14" s="62">
        <v>92</v>
      </c>
      <c r="W14" s="62">
        <f>(10000*V14)/(144*99)</f>
        <v>64.53423120089786</v>
      </c>
      <c r="X14" s="62">
        <f>(W14+'01'!W14+'02'!W14+'03'!W14+'04'!W14+'05'!W14+'06'!W14+'07'!W14)/8</f>
        <v>66.02483164983164</v>
      </c>
      <c r="Y14" s="59">
        <v>0.292</v>
      </c>
      <c r="Z14" s="63" t="s">
        <v>84</v>
      </c>
    </row>
    <row r="15" spans="1:26" s="46" customFormat="1" ht="73.5" customHeight="1">
      <c r="A15" s="36">
        <v>9</v>
      </c>
      <c r="B15" s="33" t="s">
        <v>33</v>
      </c>
      <c r="C15" s="54" t="s">
        <v>34</v>
      </c>
      <c r="D15" s="28">
        <f>134*24/1000</f>
        <v>3.216</v>
      </c>
      <c r="E15" s="59" t="s">
        <v>56</v>
      </c>
      <c r="F15" s="59" t="s">
        <v>56</v>
      </c>
      <c r="G15" s="59" t="s">
        <v>56</v>
      </c>
      <c r="H15" s="64"/>
      <c r="I15" s="60">
        <f t="shared" si="0"/>
        <v>0</v>
      </c>
      <c r="J15" s="58">
        <v>0.511</v>
      </c>
      <c r="K15" s="59">
        <v>0.511</v>
      </c>
      <c r="L15" s="61"/>
      <c r="M15" s="61"/>
      <c r="N15" s="61"/>
      <c r="O15" s="59"/>
      <c r="P15" s="59"/>
      <c r="Q15" s="59"/>
      <c r="R15" s="59"/>
      <c r="S15" s="59"/>
      <c r="T15" s="59"/>
      <c r="U15" s="60">
        <f t="shared" si="1"/>
        <v>0</v>
      </c>
      <c r="V15" s="62">
        <v>0</v>
      </c>
      <c r="W15" s="62">
        <f>(10000*V15)/(198*99.3)</f>
        <v>0</v>
      </c>
      <c r="X15" s="62">
        <f>(W15+'01'!W15+'02'!W15+'03'!W15+'04'!W15+'05'!W15+'06'!W15+'07'!W15)/8</f>
        <v>2.225172164749204</v>
      </c>
      <c r="Y15" s="59">
        <v>0</v>
      </c>
      <c r="Z15" s="63"/>
    </row>
    <row r="16" spans="1:26" s="46" customFormat="1" ht="68.25" customHeight="1">
      <c r="A16" s="32">
        <v>10</v>
      </c>
      <c r="B16" s="33" t="s">
        <v>35</v>
      </c>
      <c r="C16" s="54" t="s">
        <v>36</v>
      </c>
      <c r="D16" s="28">
        <f>24*24/1000</f>
        <v>0.576</v>
      </c>
      <c r="E16" s="59">
        <v>0.172</v>
      </c>
      <c r="F16" s="59" t="s">
        <v>56</v>
      </c>
      <c r="G16" s="59">
        <v>0.177</v>
      </c>
      <c r="H16" s="64"/>
      <c r="I16" s="60">
        <f t="shared" si="0"/>
        <v>0.349</v>
      </c>
      <c r="J16" s="58">
        <v>3.0519999999999996</v>
      </c>
      <c r="K16" s="59">
        <v>3.0519999999999996</v>
      </c>
      <c r="L16" s="61"/>
      <c r="M16" s="61"/>
      <c r="N16" s="61"/>
      <c r="O16" s="59"/>
      <c r="P16" s="59"/>
      <c r="Q16" s="59"/>
      <c r="R16" s="59"/>
      <c r="S16" s="59"/>
      <c r="T16" s="59"/>
      <c r="U16" s="60">
        <f t="shared" si="1"/>
        <v>0</v>
      </c>
      <c r="V16" s="62">
        <v>29</v>
      </c>
      <c r="W16" s="62">
        <f>(10000*V16)/(41.4*99)</f>
        <v>70.75586785731714</v>
      </c>
      <c r="X16" s="62">
        <f>(W16+'01'!W16+'02'!W16+'03'!W16+'04'!W16+'05'!W16+'06'!W16+'07'!W16)/8</f>
        <v>69.23095691211634</v>
      </c>
      <c r="Y16" s="59">
        <v>0.095</v>
      </c>
      <c r="Z16" s="63"/>
    </row>
    <row r="17" spans="1:26" s="46" customFormat="1" ht="68.25" customHeight="1">
      <c r="A17" s="32">
        <v>11</v>
      </c>
      <c r="B17" s="33" t="s">
        <v>37</v>
      </c>
      <c r="C17" s="54" t="s">
        <v>44</v>
      </c>
      <c r="D17" s="28">
        <f>18.5*24/1000</f>
        <v>0.444</v>
      </c>
      <c r="E17" s="59">
        <v>0.155827</v>
      </c>
      <c r="F17" s="59">
        <v>0.15753</v>
      </c>
      <c r="G17" s="59">
        <v>0.007777</v>
      </c>
      <c r="H17" s="64"/>
      <c r="I17" s="60">
        <f t="shared" si="0"/>
        <v>0.321134</v>
      </c>
      <c r="J17" s="58">
        <v>2.038896</v>
      </c>
      <c r="K17" s="59">
        <v>2.038896</v>
      </c>
      <c r="L17" s="61"/>
      <c r="M17" s="61"/>
      <c r="N17" s="61"/>
      <c r="O17" s="59"/>
      <c r="P17" s="59"/>
      <c r="Q17" s="59"/>
      <c r="R17" s="59"/>
      <c r="S17" s="59"/>
      <c r="T17" s="59"/>
      <c r="U17" s="60">
        <f t="shared" si="1"/>
        <v>0</v>
      </c>
      <c r="V17" s="77">
        <v>15.9</v>
      </c>
      <c r="W17" s="62"/>
      <c r="X17" s="62"/>
      <c r="Y17" s="59">
        <v>0.061</v>
      </c>
      <c r="Z17" s="63"/>
    </row>
    <row r="18" spans="1:26" s="46" customFormat="1" ht="68.25" customHeight="1">
      <c r="A18" s="32">
        <v>12</v>
      </c>
      <c r="B18" s="33" t="s">
        <v>38</v>
      </c>
      <c r="C18" s="54" t="s">
        <v>39</v>
      </c>
      <c r="D18" s="28">
        <f>8.6*24/1000</f>
        <v>0.20639999999999997</v>
      </c>
      <c r="E18" s="58">
        <v>0.045366</v>
      </c>
      <c r="F18" s="58">
        <v>0.032833</v>
      </c>
      <c r="G18" s="58">
        <v>0.047224</v>
      </c>
      <c r="H18" s="64"/>
      <c r="I18" s="60">
        <f t="shared" si="0"/>
        <v>0.125423</v>
      </c>
      <c r="J18" s="58">
        <v>0.897222</v>
      </c>
      <c r="K18" s="59">
        <v>0.897222</v>
      </c>
      <c r="L18" s="61"/>
      <c r="M18" s="61"/>
      <c r="N18" s="61"/>
      <c r="O18" s="59"/>
      <c r="P18" s="58"/>
      <c r="Q18" s="59"/>
      <c r="R18" s="59"/>
      <c r="S18" s="59"/>
      <c r="T18" s="59"/>
      <c r="U18" s="60">
        <f t="shared" si="1"/>
        <v>0</v>
      </c>
      <c r="V18" s="77">
        <v>5.6</v>
      </c>
      <c r="W18" s="62"/>
      <c r="X18" s="62"/>
      <c r="Y18" s="59">
        <v>0.031</v>
      </c>
      <c r="Z18" s="63"/>
    </row>
    <row r="19" spans="1:26" s="46" customFormat="1" ht="70.5" customHeight="1">
      <c r="A19" s="32">
        <v>13</v>
      </c>
      <c r="B19" s="33" t="s">
        <v>40</v>
      </c>
      <c r="C19" s="54" t="s">
        <v>54</v>
      </c>
      <c r="D19" s="28">
        <f>3*24/1000</f>
        <v>0.072</v>
      </c>
      <c r="E19" s="58" t="s">
        <v>51</v>
      </c>
      <c r="F19" s="65" t="s">
        <v>56</v>
      </c>
      <c r="G19" s="58" t="s">
        <v>56</v>
      </c>
      <c r="H19" s="58">
        <v>0.01632</v>
      </c>
      <c r="I19" s="60">
        <f t="shared" si="0"/>
        <v>0.01632</v>
      </c>
      <c r="J19" s="58">
        <v>0.13058</v>
      </c>
      <c r="K19" s="59">
        <v>0.13058</v>
      </c>
      <c r="L19" s="60"/>
      <c r="M19" s="60"/>
      <c r="N19" s="60"/>
      <c r="O19" s="58"/>
      <c r="P19" s="58"/>
      <c r="Q19" s="59"/>
      <c r="R19" s="59"/>
      <c r="S19" s="59"/>
      <c r="T19" s="59"/>
      <c r="U19" s="60">
        <f t="shared" si="1"/>
        <v>0</v>
      </c>
      <c r="V19" s="77">
        <v>0.7</v>
      </c>
      <c r="W19" s="60"/>
      <c r="X19" s="62"/>
      <c r="Y19" s="59">
        <v>0.0021</v>
      </c>
      <c r="Z19" s="63" t="s">
        <v>82</v>
      </c>
    </row>
    <row r="20" spans="1:26" s="46" customFormat="1" ht="68.25" customHeight="1">
      <c r="A20" s="32">
        <v>14</v>
      </c>
      <c r="B20" s="33" t="s">
        <v>58</v>
      </c>
      <c r="C20" s="56" t="s">
        <v>62</v>
      </c>
      <c r="D20" s="28"/>
      <c r="E20" s="58">
        <v>0.00204</v>
      </c>
      <c r="F20" s="58">
        <v>0.00058</v>
      </c>
      <c r="G20" s="64"/>
      <c r="H20" s="64"/>
      <c r="I20" s="60">
        <f t="shared" si="0"/>
        <v>0.00262</v>
      </c>
      <c r="J20" s="58">
        <v>0.04207</v>
      </c>
      <c r="K20" s="59">
        <v>0.04207</v>
      </c>
      <c r="L20" s="60"/>
      <c r="M20" s="60"/>
      <c r="N20" s="60"/>
      <c r="O20" s="65"/>
      <c r="P20" s="65"/>
      <c r="Q20" s="59"/>
      <c r="R20" s="59"/>
      <c r="S20" s="59"/>
      <c r="T20" s="59"/>
      <c r="U20" s="60">
        <f t="shared" si="1"/>
        <v>0</v>
      </c>
      <c r="V20" s="77">
        <v>0.547</v>
      </c>
      <c r="W20" s="60"/>
      <c r="X20" s="62"/>
      <c r="Y20" s="59">
        <v>0.000604</v>
      </c>
      <c r="Z20" s="63"/>
    </row>
    <row r="21" spans="1:26" s="46" customFormat="1" ht="68.25" customHeight="1">
      <c r="A21" s="32">
        <v>15</v>
      </c>
      <c r="B21" s="33" t="s">
        <v>59</v>
      </c>
      <c r="C21" s="56" t="s">
        <v>63</v>
      </c>
      <c r="D21" s="28"/>
      <c r="E21" s="58">
        <v>0.022</v>
      </c>
      <c r="F21" s="59">
        <v>0.017</v>
      </c>
      <c r="G21" s="64"/>
      <c r="H21" s="64"/>
      <c r="I21" s="60">
        <f t="shared" si="0"/>
        <v>0.039</v>
      </c>
      <c r="J21" s="58">
        <v>0.465</v>
      </c>
      <c r="K21" s="59">
        <v>0.465</v>
      </c>
      <c r="L21" s="60"/>
      <c r="M21" s="60"/>
      <c r="N21" s="60"/>
      <c r="O21" s="65"/>
      <c r="P21" s="65"/>
      <c r="Q21" s="59"/>
      <c r="R21" s="59"/>
      <c r="S21" s="59"/>
      <c r="T21" s="59"/>
      <c r="U21" s="60">
        <f t="shared" si="1"/>
        <v>0</v>
      </c>
      <c r="V21" s="77">
        <v>1.75</v>
      </c>
      <c r="W21" s="60"/>
      <c r="X21" s="62"/>
      <c r="Y21" s="59">
        <v>0.0097</v>
      </c>
      <c r="Z21" s="63"/>
    </row>
    <row r="22" spans="1:26" s="46" customFormat="1" ht="68.25" customHeight="1">
      <c r="A22" s="32">
        <v>16</v>
      </c>
      <c r="B22" s="33" t="s">
        <v>60</v>
      </c>
      <c r="C22" s="56" t="s">
        <v>64</v>
      </c>
      <c r="D22" s="28"/>
      <c r="E22" s="59" t="s">
        <v>56</v>
      </c>
      <c r="F22" s="59" t="s">
        <v>56</v>
      </c>
      <c r="G22" s="64"/>
      <c r="H22" s="64"/>
      <c r="I22" s="60">
        <f t="shared" si="0"/>
        <v>0</v>
      </c>
      <c r="J22" s="58">
        <v>0</v>
      </c>
      <c r="K22" s="59">
        <v>0</v>
      </c>
      <c r="L22" s="60"/>
      <c r="M22" s="60"/>
      <c r="N22" s="60"/>
      <c r="O22" s="65"/>
      <c r="P22" s="58"/>
      <c r="Q22" s="59"/>
      <c r="R22" s="59"/>
      <c r="S22" s="59"/>
      <c r="T22" s="59"/>
      <c r="U22" s="60">
        <f t="shared" si="1"/>
        <v>0</v>
      </c>
      <c r="V22" s="77">
        <v>0</v>
      </c>
      <c r="W22" s="60"/>
      <c r="X22" s="62"/>
      <c r="Y22" s="59">
        <v>0</v>
      </c>
      <c r="Z22" s="63"/>
    </row>
    <row r="23" spans="1:26" s="46" customFormat="1" ht="68.25" customHeight="1">
      <c r="A23" s="32">
        <v>17</v>
      </c>
      <c r="B23" s="33" t="s">
        <v>61</v>
      </c>
      <c r="C23" s="56" t="s">
        <v>65</v>
      </c>
      <c r="D23" s="28"/>
      <c r="E23" s="59">
        <v>0.018516</v>
      </c>
      <c r="F23" s="59" t="s">
        <v>56</v>
      </c>
      <c r="G23" s="64"/>
      <c r="H23" s="64" t="s">
        <v>49</v>
      </c>
      <c r="I23" s="60">
        <f t="shared" si="0"/>
        <v>0.018516</v>
      </c>
      <c r="J23" s="58">
        <v>0.166277</v>
      </c>
      <c r="K23" s="59">
        <v>0.166277</v>
      </c>
      <c r="L23" s="60"/>
      <c r="M23" s="60"/>
      <c r="N23" s="60"/>
      <c r="O23" s="65" t="s">
        <v>49</v>
      </c>
      <c r="P23" s="58"/>
      <c r="Q23" s="59" t="s">
        <v>49</v>
      </c>
      <c r="R23" s="59"/>
      <c r="S23" s="59"/>
      <c r="T23" s="59"/>
      <c r="U23" s="60">
        <f t="shared" si="1"/>
        <v>0</v>
      </c>
      <c r="V23" s="77">
        <v>0.95</v>
      </c>
      <c r="W23" s="60"/>
      <c r="X23" s="62"/>
      <c r="Y23" s="59">
        <v>0.00475</v>
      </c>
      <c r="Z23" s="63"/>
    </row>
    <row r="24" spans="1:26" s="46" customFormat="1" ht="68.25" customHeight="1">
      <c r="A24" s="32">
        <v>18</v>
      </c>
      <c r="B24" s="33" t="s">
        <v>70</v>
      </c>
      <c r="C24" s="56" t="s">
        <v>71</v>
      </c>
      <c r="D24" s="28"/>
      <c r="E24" s="59" t="s">
        <v>51</v>
      </c>
      <c r="F24" s="59">
        <v>0.2454</v>
      </c>
      <c r="G24" s="64"/>
      <c r="H24" s="64"/>
      <c r="I24" s="60">
        <f t="shared" si="0"/>
        <v>0.2454</v>
      </c>
      <c r="J24" s="58">
        <v>2.0764</v>
      </c>
      <c r="K24" s="59">
        <v>2.0764</v>
      </c>
      <c r="L24" s="60"/>
      <c r="M24" s="60"/>
      <c r="N24" s="60"/>
      <c r="O24" s="58"/>
      <c r="P24" s="58"/>
      <c r="Q24" s="59"/>
      <c r="R24" s="59"/>
      <c r="S24" s="59"/>
      <c r="T24" s="59"/>
      <c r="U24" s="60">
        <f t="shared" si="1"/>
        <v>0</v>
      </c>
      <c r="V24" s="62">
        <v>60</v>
      </c>
      <c r="W24" s="59"/>
      <c r="X24" s="62"/>
      <c r="Y24" s="59">
        <v>0.2454</v>
      </c>
      <c r="Z24" s="63" t="s">
        <v>82</v>
      </c>
    </row>
    <row r="25" spans="1:26" s="46" customFormat="1" ht="68.25" customHeight="1">
      <c r="A25" s="32">
        <v>19</v>
      </c>
      <c r="B25" s="33" t="s">
        <v>68</v>
      </c>
      <c r="C25" s="56" t="s">
        <v>69</v>
      </c>
      <c r="D25" s="28"/>
      <c r="E25" s="59">
        <v>0.038037</v>
      </c>
      <c r="F25" s="59" t="s">
        <v>56</v>
      </c>
      <c r="G25" s="64"/>
      <c r="H25" s="64"/>
      <c r="I25" s="60">
        <f t="shared" si="0"/>
        <v>0.038037</v>
      </c>
      <c r="J25" s="58">
        <v>0.330765</v>
      </c>
      <c r="K25" s="59">
        <v>0.330765</v>
      </c>
      <c r="L25" s="60"/>
      <c r="M25" s="60"/>
      <c r="N25" s="60"/>
      <c r="O25" s="65"/>
      <c r="P25" s="58"/>
      <c r="Q25" s="59"/>
      <c r="R25" s="59"/>
      <c r="S25" s="59"/>
      <c r="T25" s="59"/>
      <c r="U25" s="60">
        <f t="shared" si="1"/>
        <v>0</v>
      </c>
      <c r="V25" s="77">
        <v>2</v>
      </c>
      <c r="W25" s="59"/>
      <c r="X25" s="62"/>
      <c r="Y25" s="59">
        <v>0.0104</v>
      </c>
      <c r="Z25" s="63"/>
    </row>
    <row r="26" spans="1:26" s="46" customFormat="1" ht="68.25" customHeight="1">
      <c r="A26" s="32">
        <v>20</v>
      </c>
      <c r="B26" s="82" t="s">
        <v>77</v>
      </c>
      <c r="C26" s="56" t="s">
        <v>78</v>
      </c>
      <c r="D26" s="28"/>
      <c r="E26" s="59" t="s">
        <v>56</v>
      </c>
      <c r="F26" s="59" t="s">
        <v>56</v>
      </c>
      <c r="G26" s="64"/>
      <c r="H26" s="64"/>
      <c r="I26" s="60">
        <f t="shared" si="0"/>
        <v>0</v>
      </c>
      <c r="J26" s="58">
        <v>0</v>
      </c>
      <c r="K26" s="59">
        <v>0</v>
      </c>
      <c r="L26" s="60"/>
      <c r="M26" s="60"/>
      <c r="N26" s="60"/>
      <c r="O26" s="65"/>
      <c r="P26" s="58"/>
      <c r="Q26" s="59"/>
      <c r="R26" s="59"/>
      <c r="S26" s="59"/>
      <c r="T26" s="59"/>
      <c r="U26" s="60">
        <f t="shared" si="1"/>
        <v>0</v>
      </c>
      <c r="V26" s="77">
        <v>0</v>
      </c>
      <c r="W26" s="59"/>
      <c r="X26" s="62"/>
      <c r="Y26" s="59">
        <v>0</v>
      </c>
      <c r="Z26" s="63"/>
    </row>
    <row r="27" spans="1:26" s="47" customFormat="1" ht="78.75" customHeight="1">
      <c r="A27" s="93" t="s">
        <v>55</v>
      </c>
      <c r="B27" s="94"/>
      <c r="C27" s="57">
        <v>1425.6</v>
      </c>
      <c r="D27" s="20">
        <f>SUM(D7:D19)</f>
        <v>26.1024</v>
      </c>
      <c r="E27" s="79"/>
      <c r="F27" s="66"/>
      <c r="G27" s="66"/>
      <c r="H27" s="66"/>
      <c r="I27" s="61">
        <f>SUM(I7:I26)</f>
        <v>8.121726399999998</v>
      </c>
      <c r="J27" s="61">
        <f>SUM(J7:J26)</f>
        <v>67.2445506</v>
      </c>
      <c r="K27" s="61">
        <f>SUM(K7:K26)</f>
        <v>67.2445506</v>
      </c>
      <c r="L27" s="61">
        <f>SUM(L7:L25)</f>
        <v>0</v>
      </c>
      <c r="M27" s="61">
        <f>SUM(M7:M25)</f>
        <v>0</v>
      </c>
      <c r="N27" s="61">
        <f>SUM(N7:N25)</f>
        <v>0</v>
      </c>
      <c r="O27" s="61">
        <f aca="true" t="shared" si="2" ref="O27:V27">SUM(O7:O26)</f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78">
        <f t="shared" si="2"/>
        <v>735.4470000000001</v>
      </c>
      <c r="W27" s="60"/>
      <c r="X27" s="60"/>
      <c r="Y27" s="60">
        <f>SUM(Y7:Y26)</f>
        <v>2.4102940000000004</v>
      </c>
      <c r="Z27" s="67"/>
    </row>
    <row r="28" spans="1:26" s="49" customFormat="1" ht="71.25" customHeight="1">
      <c r="A28" s="48"/>
      <c r="B28" s="97" t="s">
        <v>42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47" customFormat="1" ht="3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74" customFormat="1" ht="35.25" customHeight="1">
      <c r="A30" s="99" t="s">
        <v>41</v>
      </c>
      <c r="B30" s="99"/>
      <c r="C30" s="100" t="s">
        <v>48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74" customFormat="1" ht="35.25" customHeight="1">
      <c r="A31" s="72"/>
      <c r="B31" s="72"/>
      <c r="C31" s="100" t="s">
        <v>74</v>
      </c>
      <c r="D31" s="100"/>
      <c r="E31" s="100"/>
      <c r="F31" s="73"/>
      <c r="G31" s="73"/>
      <c r="H31" s="73"/>
      <c r="I31" s="73"/>
      <c r="J31" s="75"/>
      <c r="K31" s="7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74" customFormat="1" ht="35.25" customHeight="1">
      <c r="A32" s="72"/>
      <c r="B32" s="72"/>
      <c r="C32" s="100" t="s">
        <v>45</v>
      </c>
      <c r="D32" s="100"/>
      <c r="E32" s="100"/>
      <c r="F32" s="100"/>
      <c r="G32" s="100"/>
      <c r="H32" s="100"/>
      <c r="I32" s="100"/>
      <c r="J32" s="10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74" customFormat="1" ht="35.25" customHeight="1">
      <c r="A33" s="76"/>
      <c r="B33" s="7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</row>
    <row r="34" spans="1:26" s="50" customFormat="1" ht="35.25" customHeight="1">
      <c r="A34" s="37"/>
      <c r="B34" s="11"/>
      <c r="C34" s="17"/>
      <c r="D34" s="17"/>
      <c r="E34" s="17"/>
      <c r="F34" s="17"/>
      <c r="G34" s="17"/>
      <c r="H34" s="17"/>
      <c r="I34" s="17"/>
      <c r="J34" s="12"/>
      <c r="K34" s="52"/>
      <c r="L34" s="52"/>
      <c r="M34" s="52"/>
      <c r="N34" s="52"/>
      <c r="O34" s="52"/>
      <c r="P34" s="13"/>
      <c r="Q34" s="53"/>
      <c r="R34" s="53"/>
      <c r="S34" s="53"/>
      <c r="T34" s="38"/>
      <c r="U34" s="38"/>
      <c r="V34" s="38"/>
      <c r="W34" s="38"/>
      <c r="X34" s="38"/>
      <c r="Y34" s="38"/>
      <c r="Z34" s="39" t="s">
        <v>76</v>
      </c>
    </row>
    <row r="35" ht="90.75" customHeight="1">
      <c r="I35" s="51"/>
    </row>
    <row r="40" ht="20.25">
      <c r="Q40" s="80"/>
    </row>
  </sheetData>
  <sheetProtection/>
  <mergeCells count="23">
    <mergeCell ref="A2:Z2"/>
    <mergeCell ref="A3:Z3"/>
    <mergeCell ref="A5:A6"/>
    <mergeCell ref="B5:B6"/>
    <mergeCell ref="C5:C6"/>
    <mergeCell ref="D5:D6"/>
    <mergeCell ref="E5:I5"/>
    <mergeCell ref="J5:J6"/>
    <mergeCell ref="K5:K6"/>
    <mergeCell ref="O5:U5"/>
    <mergeCell ref="V5:V6"/>
    <mergeCell ref="W5:W6"/>
    <mergeCell ref="X5:X6"/>
    <mergeCell ref="Y5:Y6"/>
    <mergeCell ref="Z5:Z6"/>
    <mergeCell ref="A27:B27"/>
    <mergeCell ref="C33:Z33"/>
    <mergeCell ref="B28:Z28"/>
    <mergeCell ref="A29:Z29"/>
    <mergeCell ref="A30:B30"/>
    <mergeCell ref="C30:Z30"/>
    <mergeCell ref="C31:E31"/>
    <mergeCell ref="C32:J3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EEdirop</cp:lastModifiedBy>
  <cp:lastPrinted>2024-04-25T05:05:25Z</cp:lastPrinted>
  <dcterms:created xsi:type="dcterms:W3CDTF">1996-10-14T23:33:28Z</dcterms:created>
  <dcterms:modified xsi:type="dcterms:W3CDTF">2024-04-25T05:05:26Z</dcterms:modified>
  <cp:category/>
  <cp:version/>
  <cp:contentType/>
  <cp:contentStatus/>
</cp:coreProperties>
</file>